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Website post (21May2025)" sheetId="2" r:id="rId5"/>
  </sheets>
  <definedNames>
    <definedName hidden="1" localSheetId="1" name="_xlnm._FilterDatabase">'Website post (21May2025)'!$A$1:$E$482</definedName>
  </definedNames>
  <calcPr/>
</workbook>
</file>

<file path=xl/sharedStrings.xml><?xml version="1.0" encoding="utf-8"?>
<sst xmlns="http://schemas.openxmlformats.org/spreadsheetml/2006/main" count="1926" uniqueCount="947">
  <si>
    <t>List of Auditors Qualified for the GSTC Auditor Training</t>
  </si>
  <si>
    <t>- This list shows individuals who successfully completed the GSTC Auditor Training in the specified scope since January 2021.
- Inidividuals who completed the auditor training course with the STTP training before 2021 are not listed due to changes in the training system and ongoing updates to the database.
- For information on auditors qualified before 2021, please contact auditor.training@gstc.org.
- Be aware that individuals on this list may not fully satisfy requirements outlined in the GSTC Accreditation Manual to conduct certification audit against GSTC Criteria.
- Contact auditor.training@gstc.org for any inquiries regarding this list.</t>
  </si>
  <si>
    <t>(Internal only here)</t>
  </si>
  <si>
    <t>Auditor
Name</t>
  </si>
  <si>
    <t>Certificate
Number</t>
  </si>
  <si>
    <t>Date
Issued</t>
  </si>
  <si>
    <t>Scope</t>
  </si>
  <si>
    <t>Country</t>
  </si>
  <si>
    <t>Organization</t>
  </si>
  <si>
    <t>A.İrfan Fenercioğlu</t>
  </si>
  <si>
    <t>2022-AT-C012</t>
  </si>
  <si>
    <t>H</t>
  </si>
  <si>
    <t>Turkiye</t>
  </si>
  <si>
    <t>Abdullah Durdu</t>
  </si>
  <si>
    <t>2025-AT-C448</t>
  </si>
  <si>
    <t>Adil Nazir</t>
  </si>
  <si>
    <t>2025-AT-C410</t>
  </si>
  <si>
    <t>Bahrain</t>
  </si>
  <si>
    <t>Adnan Albayrak</t>
  </si>
  <si>
    <t>2023-AT-C100</t>
  </si>
  <si>
    <t>Afifah Wulandari</t>
  </si>
  <si>
    <t>2021-AT-C022</t>
  </si>
  <si>
    <t>D</t>
  </si>
  <si>
    <t>Indonesia</t>
  </si>
  <si>
    <t>Ahmed Mohamed Gamal Mohamed Bahegat Elsayed</t>
  </si>
  <si>
    <t>2023-AT-C188</t>
  </si>
  <si>
    <t>Egypt</t>
  </si>
  <si>
    <t>Ahmet Akçacıoğlu</t>
  </si>
  <si>
    <t>2023-AT-C073</t>
  </si>
  <si>
    <t>Ahmet Can Þahin</t>
  </si>
  <si>
    <t>2025-AT-C388</t>
  </si>
  <si>
    <t>Ahmet Emre KORPE</t>
  </si>
  <si>
    <t>2023-AT-C169</t>
  </si>
  <si>
    <t>Aik Loong Lim</t>
  </si>
  <si>
    <t>2024-AT-C329</t>
  </si>
  <si>
    <t>Malaysia</t>
  </si>
  <si>
    <t>Ailynn Seah</t>
  </si>
  <si>
    <t>2024-AT-C262</t>
  </si>
  <si>
    <t>Singapore</t>
  </si>
  <si>
    <t>2024-AT-C267</t>
  </si>
  <si>
    <t>TO</t>
  </si>
  <si>
    <t>Akın Yavuz Seçgin</t>
  </si>
  <si>
    <t>2023-AT-C095</t>
  </si>
  <si>
    <t>Ali Ağaoğlu</t>
  </si>
  <si>
    <t>2022-AT-C022</t>
  </si>
  <si>
    <t>Ali Algassim</t>
  </si>
  <si>
    <t>2023-AT-C103</t>
  </si>
  <si>
    <t>Saudi Arabia</t>
  </si>
  <si>
    <t>Ali Ergen</t>
  </si>
  <si>
    <t>2025-AT-C456</t>
  </si>
  <si>
    <t>ALİ İHSAN BÜYÜK</t>
  </si>
  <si>
    <t>2025-AT-C440</t>
  </si>
  <si>
    <t>Ali Mansur</t>
  </si>
  <si>
    <t>2025-AT-C349</t>
  </si>
  <si>
    <t>Ali Nurman</t>
  </si>
  <si>
    <t>2021-AT-C011</t>
  </si>
  <si>
    <t>Alice Wang</t>
  </si>
  <si>
    <t>2025-AT-C348</t>
  </si>
  <si>
    <t>China</t>
  </si>
  <si>
    <t>Aline van der Meulen</t>
  </si>
  <si>
    <t>2023-AT-C122</t>
  </si>
  <si>
    <t>Sri Lanka</t>
  </si>
  <si>
    <t>ALPER BAYRAM</t>
  </si>
  <si>
    <t>2023-AT-C111</t>
  </si>
  <si>
    <t>2023-AT-C153</t>
  </si>
  <si>
    <t>ALPER DEVECİ</t>
  </si>
  <si>
    <t>2022-AT-C029</t>
  </si>
  <si>
    <t>Amanda Puia Pietrobon</t>
  </si>
  <si>
    <t>2022-AT-C001</t>
  </si>
  <si>
    <t>HTO</t>
  </si>
  <si>
    <t>Brazil</t>
  </si>
  <si>
    <t>Anastasia Mexa</t>
  </si>
  <si>
    <t>2023-AT-C136</t>
  </si>
  <si>
    <t>Cyprus</t>
  </si>
  <si>
    <t>Andika Budiningtyas</t>
  </si>
  <si>
    <t>2021-AT-C018</t>
  </si>
  <si>
    <t>Angelique Tonnaer</t>
  </si>
  <si>
    <t>2023-AT-C129</t>
  </si>
  <si>
    <t>Netherlands</t>
  </si>
  <si>
    <t>Anjalika Madugalla</t>
  </si>
  <si>
    <t>2022-AT-C049</t>
  </si>
  <si>
    <t>Anna Zavadskaya</t>
  </si>
  <si>
    <t>2024-AT-C286</t>
  </si>
  <si>
    <t>Italy</t>
  </si>
  <si>
    <t>2024-AT-C294</t>
  </si>
  <si>
    <t>Annisa Dwi Febrianty</t>
  </si>
  <si>
    <t>2025-AT-C368</t>
  </si>
  <si>
    <t>Arif TOK</t>
  </si>
  <si>
    <t>2023-AT-C076</t>
  </si>
  <si>
    <t>Armela Qafoku</t>
  </si>
  <si>
    <t>2024-AT-C312</t>
  </si>
  <si>
    <t>Albania</t>
  </si>
  <si>
    <t>Arthur Lee</t>
  </si>
  <si>
    <t>2023-AT-C081</t>
  </si>
  <si>
    <t>Aslıhan Aydın</t>
  </si>
  <si>
    <t>2024-AT-C293</t>
  </si>
  <si>
    <t>Atilla Dingil</t>
  </si>
  <si>
    <t>2025-AT-C358</t>
  </si>
  <si>
    <t>Aulkine Monteiro da Silva</t>
  </si>
  <si>
    <t>2024-AT-C205</t>
  </si>
  <si>
    <t>Cabo Verde</t>
  </si>
  <si>
    <t>Avery Zhu</t>
  </si>
  <si>
    <t>2025-AT-C376</t>
  </si>
  <si>
    <t>Ayça Cilo</t>
  </si>
  <si>
    <t>2023-AT-C106</t>
  </si>
  <si>
    <t>Ayfer ADIGÜZEL</t>
  </si>
  <si>
    <t>2022-AT-C061</t>
  </si>
  <si>
    <t>AYFER ADIGÜZEL</t>
  </si>
  <si>
    <t>2023-AT-C068</t>
  </si>
  <si>
    <t>AYKUT BUTUN</t>
  </si>
  <si>
    <t>2025-AT-C450</t>
  </si>
  <si>
    <t>AYKUT DURNA</t>
  </si>
  <si>
    <t>2023-AT-C157</t>
  </si>
  <si>
    <t>Ayşe MAT</t>
  </si>
  <si>
    <t>2023-AT-C079</t>
  </si>
  <si>
    <t>AYŞEGÜL ZEYBEK</t>
  </si>
  <si>
    <t>2025-AT-C359</t>
  </si>
  <si>
    <t>AYSEL CALAGAN</t>
  </si>
  <si>
    <t>2023-AT-C101</t>
  </si>
  <si>
    <t>AYSEN YILMAZ</t>
  </si>
  <si>
    <t>2024-AT-C272</t>
  </si>
  <si>
    <t>Azize Çelikdere</t>
  </si>
  <si>
    <t>2024-AT-C283</t>
  </si>
  <si>
    <t>Barış ÇELENK</t>
  </si>
  <si>
    <t>2023-AT-C154</t>
  </si>
  <si>
    <t>Barış ŞEN</t>
  </si>
  <si>
    <t>2024-AT-C210</t>
  </si>
  <si>
    <t>Berfin Gündeş</t>
  </si>
  <si>
    <t>2024-AT-C195</t>
  </si>
  <si>
    <t>Bernd Singendonk</t>
  </si>
  <si>
    <t>2023-AT-C131</t>
  </si>
  <si>
    <t>Germany</t>
  </si>
  <si>
    <t>Bilgehan Yağbasan</t>
  </si>
  <si>
    <t>2025-AT-C412</t>
  </si>
  <si>
    <t>Binh PHAN</t>
  </si>
  <si>
    <t>2023-AT-C080</t>
  </si>
  <si>
    <t>Vietnam</t>
  </si>
  <si>
    <t>Blanca Foix Salló</t>
  </si>
  <si>
    <t>2023-AT-C124</t>
  </si>
  <si>
    <t>Spain</t>
  </si>
  <si>
    <t>Blerina Ago</t>
  </si>
  <si>
    <t>2024-AT-C310</t>
  </si>
  <si>
    <t>2024-AT-C313</t>
  </si>
  <si>
    <t>Bruce Hu</t>
  </si>
  <si>
    <t>2025-AT-C344</t>
  </si>
  <si>
    <t>2025-AT-C345</t>
  </si>
  <si>
    <t>Bulent Demiral</t>
  </si>
  <si>
    <t>2024-AT-C252</t>
  </si>
  <si>
    <t>BÜLENT DOKUZOĞLU</t>
  </si>
  <si>
    <t>2022-AT-C054</t>
  </si>
  <si>
    <t>Burak Geniş</t>
  </si>
  <si>
    <t>2023-AT-C166</t>
  </si>
  <si>
    <t>BURCU Ünal TERZİOĞLU</t>
  </si>
  <si>
    <t>2024-AT-C301</t>
  </si>
  <si>
    <t>#N/A</t>
  </si>
  <si>
    <t>CANAN BUTUN</t>
  </si>
  <si>
    <t>2025-AT-C449</t>
  </si>
  <si>
    <t>Canan Yılmaz</t>
  </si>
  <si>
    <t>2022-AT-C018</t>
  </si>
  <si>
    <t>Caner Palavan</t>
  </si>
  <si>
    <t>2022-AT-C057</t>
  </si>
  <si>
    <t>Caner Sayın</t>
  </si>
  <si>
    <t>2024-AT-C330</t>
  </si>
  <si>
    <t>Carlo Fiandesio Vallante</t>
  </si>
  <si>
    <t>2024-AT-C290</t>
  </si>
  <si>
    <t>Cecilia Torlai</t>
  </si>
  <si>
    <t>2024-AT-C264</t>
  </si>
  <si>
    <t>2024-AT-C320</t>
  </si>
  <si>
    <t>celalettin uysal</t>
  </si>
  <si>
    <t>2024-AT-C223</t>
  </si>
  <si>
    <t>CENK NAZLI</t>
  </si>
  <si>
    <t>2025-AT-C396</t>
  </si>
  <si>
    <t>Cenk Türker</t>
  </si>
  <si>
    <t>2024-AT-C215</t>
  </si>
  <si>
    <t>CEVHER KURT</t>
  </si>
  <si>
    <t>2025-AT-C355</t>
  </si>
  <si>
    <t>Ceylan Ogan</t>
  </si>
  <si>
    <t>2023-AT-C165</t>
  </si>
  <si>
    <t>Chantel van Gent</t>
  </si>
  <si>
    <t>2023-AT-C135</t>
  </si>
  <si>
    <t>Charmaine Sealey</t>
  </si>
  <si>
    <t>2023-AT-C127</t>
  </si>
  <si>
    <t>Barbados</t>
  </si>
  <si>
    <t>Charmmon Romero</t>
  </si>
  <si>
    <t>2025-AT-C458</t>
  </si>
  <si>
    <t>Chen Min</t>
  </si>
  <si>
    <t>2025-AT-C404</t>
  </si>
  <si>
    <t>2025-AT-C411</t>
  </si>
  <si>
    <t>Chiara Onofri</t>
  </si>
  <si>
    <t>2023-AT-C172</t>
  </si>
  <si>
    <t>Chris Thompson</t>
  </si>
  <si>
    <t>2022-AT-C044</t>
  </si>
  <si>
    <t>United Kingdom</t>
  </si>
  <si>
    <t>CHRİSTOS MARKOPOULOS</t>
  </si>
  <si>
    <t>2023-AT-C098</t>
  </si>
  <si>
    <t>Chung Joyce</t>
  </si>
  <si>
    <t>2025-AT-C343</t>
  </si>
  <si>
    <t>2025-AT-C354</t>
  </si>
  <si>
    <t>Çiğdem Bekmezci</t>
  </si>
  <si>
    <t>2024-AT-C300</t>
  </si>
  <si>
    <t>Claudine Nagiah</t>
  </si>
  <si>
    <t>2025-AT-C341</t>
  </si>
  <si>
    <t>Thailand</t>
  </si>
  <si>
    <t>2025-AT-C342</t>
  </si>
  <si>
    <t>Cüneyt Ünver</t>
  </si>
  <si>
    <t>2024-AT-C253</t>
  </si>
  <si>
    <t>Da Yeon Choi</t>
  </si>
  <si>
    <t>2023-AT-C178</t>
  </si>
  <si>
    <t>Korea, Republic of</t>
  </si>
  <si>
    <t>Dağhan İstaşoğlu</t>
  </si>
  <si>
    <t>2024-AT-C244</t>
  </si>
  <si>
    <t>Daisuke Inoyama</t>
  </si>
  <si>
    <t>2023-AT-C170</t>
  </si>
  <si>
    <t>Japan</t>
  </si>
  <si>
    <t>2024-AT-C193</t>
  </si>
  <si>
    <t>Daisuke OKUMURA</t>
  </si>
  <si>
    <t>2024-AT-C229</t>
  </si>
  <si>
    <t>2024-AT-C230</t>
  </si>
  <si>
    <t>Dana Wyatt</t>
  </si>
  <si>
    <t>2022-AT-C026</t>
  </si>
  <si>
    <t>Trinidad</t>
  </si>
  <si>
    <t>2022-AT-C048</t>
  </si>
  <si>
    <t>Danesta Febianto Nugroho</t>
  </si>
  <si>
    <t>2021-AT-C023</t>
  </si>
  <si>
    <t>Daniele Candreva</t>
  </si>
  <si>
    <t>2022-AT-C050</t>
  </si>
  <si>
    <t>2022-AT-C051</t>
  </si>
  <si>
    <t>David Ortegon Martinez</t>
  </si>
  <si>
    <t>2023-AT-C126</t>
  </si>
  <si>
    <t>Mexico</t>
  </si>
  <si>
    <t>2025-AT-C401</t>
  </si>
  <si>
    <t>Davide Caisutti</t>
  </si>
  <si>
    <t>2024-AT-C228</t>
  </si>
  <si>
    <t>Delphine Malleret King</t>
  </si>
  <si>
    <t>2024-AT-C303</t>
  </si>
  <si>
    <t>Demet Gençoğlu Akın</t>
  </si>
  <si>
    <t>2024-AT-C270</t>
  </si>
  <si>
    <t>DENİZ ASLAN</t>
  </si>
  <si>
    <t>2024-AT-C222</t>
  </si>
  <si>
    <t>Deniz Çatakoğlu</t>
  </si>
  <si>
    <t>2025-AT-C454</t>
  </si>
  <si>
    <t>DENİZ TİMUÇİN TİMUÇİN</t>
  </si>
  <si>
    <t>2025-AT-C439</t>
  </si>
  <si>
    <t>Derya Yıldız</t>
  </si>
  <si>
    <t>2024-AT-C280</t>
  </si>
  <si>
    <t>2024-AT-C317</t>
  </si>
  <si>
    <t>Deveena Boygah</t>
  </si>
  <si>
    <t>2021-AT-C001</t>
  </si>
  <si>
    <t>Apr 16, 2021</t>
  </si>
  <si>
    <t>Mauritius</t>
  </si>
  <si>
    <t>Devin Weerasekera</t>
  </si>
  <si>
    <t>2022-AT-C024</t>
  </si>
  <si>
    <t>Diane Parnis</t>
  </si>
  <si>
    <t>2024-AT-C192</t>
  </si>
  <si>
    <t>Malta</t>
  </si>
  <si>
    <t>Diego De Santis</t>
  </si>
  <si>
    <t>2022-AT-C027</t>
  </si>
  <si>
    <t>2022-AT-C064</t>
  </si>
  <si>
    <t>DİLARA DİDEM TEMUR</t>
  </si>
  <si>
    <t>2024-AT-C284</t>
  </si>
  <si>
    <t>2024-AT-C298</t>
  </si>
  <si>
    <t>Dilay Durmuş</t>
  </si>
  <si>
    <t>2024-AT-C292</t>
  </si>
  <si>
    <t>Dilek Sever</t>
  </si>
  <si>
    <t>2025-AT-C446</t>
  </si>
  <si>
    <t>Dimas Galih Anggoro</t>
  </si>
  <si>
    <t>2021-AT-C012</t>
  </si>
  <si>
    <t>Ditta Fekete</t>
  </si>
  <si>
    <t>2022-AT-C006-TO</t>
  </si>
  <si>
    <t>Hungary</t>
  </si>
  <si>
    <t>Divan van Zyl</t>
  </si>
  <si>
    <t>2023-AT-C075</t>
  </si>
  <si>
    <t>South Africa</t>
  </si>
  <si>
    <t>Divinah Maturi</t>
  </si>
  <si>
    <t>2024-AT-C266</t>
  </si>
  <si>
    <t>Kenya</t>
  </si>
  <si>
    <t>DUDU MACİT</t>
  </si>
  <si>
    <t>2025-AT-C421</t>
  </si>
  <si>
    <t>Duygu Bora</t>
  </si>
  <si>
    <t>2023-AT-C093</t>
  </si>
  <si>
    <t>2023-AT-C140</t>
  </si>
  <si>
    <t>Duygu ÇABUK</t>
  </si>
  <si>
    <t>2023-AT-C085</t>
  </si>
  <si>
    <t>Duygu ÇAYDAŞ AKYOL</t>
  </si>
  <si>
    <t>2025-AT-C457</t>
  </si>
  <si>
    <t>Ebru Kumbaracı</t>
  </si>
  <si>
    <t>2022-AT-C043</t>
  </si>
  <si>
    <t>EBRU TÜRK</t>
  </si>
  <si>
    <t>2025-AT-C364</t>
  </si>
  <si>
    <t>Ecem Eren</t>
  </si>
  <si>
    <t>2024-AT-C279</t>
  </si>
  <si>
    <t>2025-AT-C338</t>
  </si>
  <si>
    <t>ECEVİT BARKIN KALUÇ</t>
  </si>
  <si>
    <t>2025-AT-C378</t>
  </si>
  <si>
    <t>Eda Polat Yalçın</t>
  </si>
  <si>
    <t>2023-AT-C089</t>
  </si>
  <si>
    <t>EDANUR TOMUR</t>
  </si>
  <si>
    <t>2025-AT-C455</t>
  </si>
  <si>
    <t>Egemen BELET</t>
  </si>
  <si>
    <t>2022-AT-C045</t>
  </si>
  <si>
    <t>Elaine Patnode</t>
  </si>
  <si>
    <t>2024-AT-C240</t>
  </si>
  <si>
    <t>United States</t>
  </si>
  <si>
    <t>Elif BAL ÖZGÜR</t>
  </si>
  <si>
    <t>2025-AT-C361</t>
  </si>
  <si>
    <t>2025-AT-C362</t>
  </si>
  <si>
    <t>Elif Erdinc Senkal</t>
  </si>
  <si>
    <t>2023-AT-C116</t>
  </si>
  <si>
    <t>2023-AT-C164</t>
  </si>
  <si>
    <t>ELİF ERKAN</t>
  </si>
  <si>
    <t>2022-AT-C059</t>
  </si>
  <si>
    <t>2023-AT-C065</t>
  </si>
  <si>
    <t>ELİF YALÇIN</t>
  </si>
  <si>
    <t>2024-AT-C327</t>
  </si>
  <si>
    <t>2025-AT-C360</t>
  </si>
  <si>
    <t>Elisa Lattuada</t>
  </si>
  <si>
    <t>2024-AT-C285</t>
  </si>
  <si>
    <t>Emilia Prodea</t>
  </si>
  <si>
    <t>2025-AT-C393</t>
  </si>
  <si>
    <t>Romania</t>
  </si>
  <si>
    <t>EMRA ÖZBUDAK</t>
  </si>
  <si>
    <t>2023-AT-C077</t>
  </si>
  <si>
    <t>EMRE BAHA CIZRELI</t>
  </si>
  <si>
    <t>2023-AT-C159</t>
  </si>
  <si>
    <t>Enrico Plateo</t>
  </si>
  <si>
    <t>2024-AT-C288</t>
  </si>
  <si>
    <t>Erkan Deniz</t>
  </si>
  <si>
    <t>2025-AT-C375</t>
  </si>
  <si>
    <t>EROL KEREM KADIOGLU</t>
  </si>
  <si>
    <t>2024-AT-C276</t>
  </si>
  <si>
    <t>Erric Raymond Tatimu</t>
  </si>
  <si>
    <t>2021-AT-C013</t>
  </si>
  <si>
    <t>ERSEN DAŞ</t>
  </si>
  <si>
    <t>2024-AT-C258</t>
  </si>
  <si>
    <t>ERTUGRUL OZDEMIR</t>
  </si>
  <si>
    <t>2022-AT-C055</t>
  </si>
  <si>
    <t>Esin Mayaöz Ahretlikoğlu</t>
  </si>
  <si>
    <t>2025-AT-C367</t>
  </si>
  <si>
    <t>ESRA OZKIRAN</t>
  </si>
  <si>
    <t>2023-AT-C082</t>
  </si>
  <si>
    <t>Esra Sarı</t>
  </si>
  <si>
    <t>2025-AT-C365</t>
  </si>
  <si>
    <t>Esra Ulusoy</t>
  </si>
  <si>
    <t>2025-AT-C353</t>
  </si>
  <si>
    <t>Eva Kushova</t>
  </si>
  <si>
    <t>2024-AT-C319</t>
  </si>
  <si>
    <t>Eyüp Cihan</t>
  </si>
  <si>
    <t>2025-AT-C444</t>
  </si>
  <si>
    <t>Ezgi DURSUN</t>
  </si>
  <si>
    <t>2023-AT-C162</t>
  </si>
  <si>
    <t>Fatih Taş</t>
  </si>
  <si>
    <t>2022-AT-C016</t>
  </si>
  <si>
    <t>Fatma Demet Yilmaz</t>
  </si>
  <si>
    <t>2022-AT-C011</t>
  </si>
  <si>
    <t>Fatma Özlem Demir</t>
  </si>
  <si>
    <t>2025-AT-C372</t>
  </si>
  <si>
    <t>Federica Bosco</t>
  </si>
  <si>
    <t>2024-AT-C332</t>
  </si>
  <si>
    <t>Federico Fiorentino</t>
  </si>
  <si>
    <t>2024-AT-C197</t>
  </si>
  <si>
    <t>2024-AT-C202</t>
  </si>
  <si>
    <t>Filippo Caporale</t>
  </si>
  <si>
    <t>2024-AT-C289</t>
  </si>
  <si>
    <t>FİLİZ KARATEPE</t>
  </si>
  <si>
    <t>2025-AT-C383</t>
  </si>
  <si>
    <t>FIRAT TOZLU</t>
  </si>
  <si>
    <t>2024-AT-C214</t>
  </si>
  <si>
    <t>2024-AT-C219</t>
  </si>
  <si>
    <t>Florencia Kogan Moyano</t>
  </si>
  <si>
    <t>2023-AT-C187</t>
  </si>
  <si>
    <t>Francesca Demattè</t>
  </si>
  <si>
    <t>2024-AT-C331</t>
  </si>
  <si>
    <t>2025-AT-C399</t>
  </si>
  <si>
    <t>FRANCESCA ROMERO</t>
  </si>
  <si>
    <t>2024-AT-C268</t>
  </si>
  <si>
    <t>Fumiko Ito</t>
  </si>
  <si>
    <t>2025-AT-C337</t>
  </si>
  <si>
    <t>2025-AT-C351</t>
  </si>
  <si>
    <t>Gamze Dağdaş</t>
  </si>
  <si>
    <t>2025-AT-C369</t>
  </si>
  <si>
    <t>2025-AT-C391</t>
  </si>
  <si>
    <t>Giorgio Caire di Lauzet</t>
  </si>
  <si>
    <t>2024-AT-C233</t>
  </si>
  <si>
    <t>2024-AT-C273</t>
  </si>
  <si>
    <t>Gökçen Varol</t>
  </si>
  <si>
    <t>2025-AT-C389</t>
  </si>
  <si>
    <t>Gökhan Alkan</t>
  </si>
  <si>
    <t>2025-AT-C408</t>
  </si>
  <si>
    <t>Gökhan Tuğrul</t>
  </si>
  <si>
    <t>2024-AT-C236</t>
  </si>
  <si>
    <t>GONCA TEZGÖREN</t>
  </si>
  <si>
    <t>2025-AT-C387</t>
  </si>
  <si>
    <t>Görkem Kurşunlu Karakuş</t>
  </si>
  <si>
    <t>2022-AT-C056</t>
  </si>
  <si>
    <t>Görkem Vural</t>
  </si>
  <si>
    <t>2022-AT-C015</t>
  </si>
  <si>
    <t>Gözde Kubat</t>
  </si>
  <si>
    <t>2024-AT-C256</t>
  </si>
  <si>
    <t>Gülcan Açıkel</t>
  </si>
  <si>
    <t>2023-AT-C087</t>
  </si>
  <si>
    <t>Güleser Tazegül</t>
  </si>
  <si>
    <t>2024-AT-C316</t>
  </si>
  <si>
    <t>Gülhan Dağtekin</t>
  </si>
  <si>
    <t>2024-AT-C325</t>
  </si>
  <si>
    <t>GÜLİSTAN AKAY</t>
  </si>
  <si>
    <t>2022-AT-C030</t>
  </si>
  <si>
    <t>Gürsel Özdemir</t>
  </si>
  <si>
    <t>2024-AT-C224</t>
  </si>
  <si>
    <t>H.Pelin Erol</t>
  </si>
  <si>
    <t>2024-AT-C291</t>
  </si>
  <si>
    <t>Hacer Dokuzluoğlu</t>
  </si>
  <si>
    <t>2023-AT-C078</t>
  </si>
  <si>
    <t>Hacer Taç</t>
  </si>
  <si>
    <t>2025-AT-C366</t>
  </si>
  <si>
    <t>2025-AT-C417</t>
  </si>
  <si>
    <t>Haibing Zhang</t>
  </si>
  <si>
    <t>2023-AT-C115</t>
  </si>
  <si>
    <t>2023-AT-C145</t>
  </si>
  <si>
    <t>HAKAN AKIN</t>
  </si>
  <si>
    <t>2024-AT-C246</t>
  </si>
  <si>
    <t>HAKAN KILIÇARSLAN</t>
  </si>
  <si>
    <t>2025-AT-C405</t>
  </si>
  <si>
    <t>HAKAN ÖKSÜZ</t>
  </si>
  <si>
    <t>2023-AT-C084</t>
  </si>
  <si>
    <t>Hakan Saltık</t>
  </si>
  <si>
    <t>2022-AT-C052</t>
  </si>
  <si>
    <t>Hale Günay</t>
  </si>
  <si>
    <t>2022-AT-C047</t>
  </si>
  <si>
    <t>Hale Yamik</t>
  </si>
  <si>
    <t>2023-AT-C150</t>
  </si>
  <si>
    <t>2023-AT-C160</t>
  </si>
  <si>
    <t>Halil Akbaş</t>
  </si>
  <si>
    <t>2024-AT-C265</t>
  </si>
  <si>
    <t>Halil Burak Sakal</t>
  </si>
  <si>
    <t>2022-AT-C046</t>
  </si>
  <si>
    <t>hamit gökay meriç</t>
  </si>
  <si>
    <t>2024-AT-C322</t>
  </si>
  <si>
    <t>Hamit ÖZGÜR</t>
  </si>
  <si>
    <t>2023-AT-C091</t>
  </si>
  <si>
    <t>Hamza Akdağ</t>
  </si>
  <si>
    <t>2024-AT-C208</t>
  </si>
  <si>
    <t>Haoming Xu</t>
  </si>
  <si>
    <t>2024-AT-C249</t>
  </si>
  <si>
    <t>Haşan Daş</t>
  </si>
  <si>
    <t>2022-AT-C020</t>
  </si>
  <si>
    <t>HATİCE DİCLE GÜNDEŞ</t>
  </si>
  <si>
    <t>2024-AT-C194</t>
  </si>
  <si>
    <t>Hayrettin YILMAZ</t>
  </si>
  <si>
    <t>2024-AT-C328</t>
  </si>
  <si>
    <t>HAZAL ARSLAN</t>
  </si>
  <si>
    <t>2025-AT-C379</t>
  </si>
  <si>
    <t>Hemant Sudhakarrao Soitkar</t>
  </si>
  <si>
    <t>2023-AT-C105</t>
  </si>
  <si>
    <t>Hendrie Adji Kusworo</t>
  </si>
  <si>
    <t>2021-AT-C021</t>
  </si>
  <si>
    <t>Hennis Cheung</t>
  </si>
  <si>
    <t>2021-AT-C024-H</t>
  </si>
  <si>
    <t>Herdi Andrariladchi</t>
  </si>
  <si>
    <t>2024-AT-C196</t>
  </si>
  <si>
    <t>Hoang Huy Nguyen</t>
  </si>
  <si>
    <t>2024-AT-C216</t>
  </si>
  <si>
    <t>2024-AT-C217</t>
  </si>
  <si>
    <t>HONG WEI WANG</t>
  </si>
  <si>
    <t>2025-AT-C335</t>
  </si>
  <si>
    <t>Taiwan</t>
  </si>
  <si>
    <t>2025-AT-C336</t>
  </si>
  <si>
    <t>Hossam Abdel Khader</t>
  </si>
  <si>
    <t>2025-AT-C438</t>
  </si>
  <si>
    <t>United Arab Emirates</t>
  </si>
  <si>
    <t>Hüseyin Seçkin Uzunkaya</t>
  </si>
  <si>
    <t>2022-AT-C019</t>
  </si>
  <si>
    <t>İBRAHİM SULU</t>
  </si>
  <si>
    <t>2025-AT-C441</t>
  </si>
  <si>
    <t>İPEK KEPECİ</t>
  </si>
  <si>
    <t>2023-AT-C180</t>
  </si>
  <si>
    <t>Irem Uslu</t>
  </si>
  <si>
    <t>2023-AT-C181</t>
  </si>
  <si>
    <t>Ivan Cassar</t>
  </si>
  <si>
    <t>2023-AT-C149</t>
  </si>
  <si>
    <t>2023-AT-C173</t>
  </si>
  <si>
    <t>Ivan Vukoje</t>
  </si>
  <si>
    <t>2023-AT-C133</t>
  </si>
  <si>
    <t>Serbia / Croatia</t>
  </si>
  <si>
    <t>Jace Waithe</t>
  </si>
  <si>
    <t>2022-AT-C063</t>
  </si>
  <si>
    <t>2023-AT-C094</t>
  </si>
  <si>
    <t>Jelena Kucan</t>
  </si>
  <si>
    <t>2024-AT-C333</t>
  </si>
  <si>
    <t>Croatia</t>
  </si>
  <si>
    <t>Jeroen Van Merode</t>
  </si>
  <si>
    <t>2021-AT-C010</t>
  </si>
  <si>
    <t>The Netherlands</t>
  </si>
  <si>
    <t>Jerome Memoracion</t>
  </si>
  <si>
    <t>2024-AT-C263</t>
  </si>
  <si>
    <t>Philippines</t>
  </si>
  <si>
    <t>2024-AT-C308</t>
  </si>
  <si>
    <t>Jian An Ma</t>
  </si>
  <si>
    <t>2022-AT-C025</t>
  </si>
  <si>
    <t>Jie Ren</t>
  </si>
  <si>
    <t>2024-AT-C305</t>
  </si>
  <si>
    <t>Jo Hendrickx</t>
  </si>
  <si>
    <t>2023-AT-C132</t>
  </si>
  <si>
    <t>Joel Tsi</t>
  </si>
  <si>
    <t>2025-AT-C434</t>
  </si>
  <si>
    <t>Johana Cristina Caviedes Godoy</t>
  </si>
  <si>
    <t>2025-AT-C420</t>
  </si>
  <si>
    <t>Columbia</t>
  </si>
  <si>
    <t>Juliana Freitas</t>
  </si>
  <si>
    <t>2022-AT-C002-H</t>
  </si>
  <si>
    <t>Portugal</t>
  </si>
  <si>
    <t>2022-AT-C002-TO</t>
  </si>
  <si>
    <t>Julius Majaliwa</t>
  </si>
  <si>
    <t>2023-AT-C134</t>
  </si>
  <si>
    <t>Tanzania</t>
  </si>
  <si>
    <t>Jung-Feng Cheng</t>
  </si>
  <si>
    <t>2023-AT-C147</t>
  </si>
  <si>
    <t>2023-AT-C186</t>
  </si>
  <si>
    <t>Kai Khim Aw</t>
  </si>
  <si>
    <t>2023-AT-C177</t>
  </si>
  <si>
    <t>Kasun Vithanage</t>
  </si>
  <si>
    <t>2025-AT-C424</t>
  </si>
  <si>
    <t>Ken Lin</t>
  </si>
  <si>
    <t>2025-AT-C339</t>
  </si>
  <si>
    <t>2025-AT-C340</t>
  </si>
  <si>
    <t>Kiara Muka</t>
  </si>
  <si>
    <t>2024-AT-C307</t>
  </si>
  <si>
    <t>Kübra Ergen</t>
  </si>
  <si>
    <t>2025-AT-C453</t>
  </si>
  <si>
    <t>Laila Biondani</t>
  </si>
  <si>
    <t>2024-AT-C245</t>
  </si>
  <si>
    <t>2024-AT-C278</t>
  </si>
  <si>
    <t>Lale Becu</t>
  </si>
  <si>
    <t>2025-AT-C442</t>
  </si>
  <si>
    <t>Lamia Çiçek</t>
  </si>
  <si>
    <t>2024-AT-C334</t>
  </si>
  <si>
    <t>2025-AT-C402</t>
  </si>
  <si>
    <t>Leyla Jahn</t>
  </si>
  <si>
    <t>2023-AT-C083</t>
  </si>
  <si>
    <t>Li SHUAI</t>
  </si>
  <si>
    <t>2024-AT-C326</t>
  </si>
  <si>
    <t>Lina Chen</t>
  </si>
  <si>
    <t>2023-AT-C152</t>
  </si>
  <si>
    <t>Lina Chen</t>
  </si>
  <si>
    <t>2023-AT-C179</t>
  </si>
  <si>
    <t>Lokman Yunushan KEÇE</t>
  </si>
  <si>
    <t>2025-AT-C386</t>
  </si>
  <si>
    <t>2025-AT-C426</t>
  </si>
  <si>
    <t>Louis (Jaewook) Jang</t>
  </si>
  <si>
    <t>2025-AT-C347</t>
  </si>
  <si>
    <t>Republic of Korea</t>
  </si>
  <si>
    <t>M. Recai Yılmaz</t>
  </si>
  <si>
    <t>2024-AT-C220</t>
  </si>
  <si>
    <t>Madlina Özgür Puka</t>
  </si>
  <si>
    <t>2024-AT-C318</t>
  </si>
  <si>
    <t>Margherita Vialetto</t>
  </si>
  <si>
    <t>2024-AT-C287</t>
  </si>
  <si>
    <t>María Ester Guðjónsdóttir</t>
  </si>
  <si>
    <t>2024-AT-C314</t>
  </si>
  <si>
    <t>Iceland</t>
  </si>
  <si>
    <t>2025-AT-C377</t>
  </si>
  <si>
    <t>Maria Liontaki</t>
  </si>
  <si>
    <t>2024-AT-C199</t>
  </si>
  <si>
    <t>Greece</t>
  </si>
  <si>
    <t>Mariya ŞENTÜRK</t>
  </si>
  <si>
    <t>2025-AT-C390</t>
  </si>
  <si>
    <t>Mary Jacob</t>
  </si>
  <si>
    <t>2024-AT-C251</t>
  </si>
  <si>
    <t>Masaru Takayama</t>
  </si>
  <si>
    <t>2023-AT-C146</t>
  </si>
  <si>
    <t>2023-AT-C168</t>
  </si>
  <si>
    <t>MAYRA DE LOS ANGELES LLAMAS LEON</t>
  </si>
  <si>
    <t>2024-AT-C218</t>
  </si>
  <si>
    <t>2024-AT-C225</t>
  </si>
  <si>
    <t>Mehmet BAHAR</t>
  </si>
  <si>
    <t>2023-AT-C071</t>
  </si>
  <si>
    <t>2023-AT-C141</t>
  </si>
  <si>
    <t>Mehmet Bartu Kireççi</t>
  </si>
  <si>
    <t>2024-AT-C212</t>
  </si>
  <si>
    <t>Mehmet Can Doğaroğlu</t>
  </si>
  <si>
    <t>2022-AT-C021</t>
  </si>
  <si>
    <t>Mehmet Can İnce</t>
  </si>
  <si>
    <t>2023-AT-C119</t>
  </si>
  <si>
    <t>Mehmet Hulusi Ada</t>
  </si>
  <si>
    <t>2024-AT-C221</t>
  </si>
  <si>
    <t>MEHMET SELVER KÖPRÜ</t>
  </si>
  <si>
    <t>2024-AT-C209</t>
  </si>
  <si>
    <t>MELİS CAN ÖZCAN</t>
  </si>
  <si>
    <t>2022-AT-C031</t>
  </si>
  <si>
    <t>MERT ÇALIŞ</t>
  </si>
  <si>
    <t>2023-AT-C108</t>
  </si>
  <si>
    <t>MERVE SEÇİLMİŞ</t>
  </si>
  <si>
    <t>2025-AT-C356</t>
  </si>
  <si>
    <t>2025-AT-C357</t>
  </si>
  <si>
    <t>Meryem Melisa Uyankaya Kırbaççıoğlu</t>
  </si>
  <si>
    <t>2024-AT-C226</t>
  </si>
  <si>
    <t>Mi Hye Kim</t>
  </si>
  <si>
    <t>2023-AT-C176</t>
  </si>
  <si>
    <t>Michelle Groothedde</t>
  </si>
  <si>
    <t>2024-AT-C237</t>
  </si>
  <si>
    <t>MIYANO Hiroomi</t>
  </si>
  <si>
    <t>2025-AT-C418</t>
  </si>
  <si>
    <t>Mohammud Yusuf Foondun</t>
  </si>
  <si>
    <t>2021-AT-C002</t>
  </si>
  <si>
    <t>Mohd Shauki Mohd Ghazali</t>
  </si>
  <si>
    <t>2023-AT-C182</t>
  </si>
  <si>
    <t>Monique Beijer</t>
  </si>
  <si>
    <t>2023-AT-C139</t>
  </si>
  <si>
    <t>MÜCAHİT GÜRLER</t>
  </si>
  <si>
    <t>2024-AT-C275</t>
  </si>
  <si>
    <t>2024-AT-C296</t>
  </si>
  <si>
    <t>Muh Nurdin</t>
  </si>
  <si>
    <t>2021-AT-C017</t>
  </si>
  <si>
    <t>Muhammad Baiquni</t>
  </si>
  <si>
    <t>2021-AT-C019</t>
  </si>
  <si>
    <t>Muhammad Khurram Babar Manzoor</t>
  </si>
  <si>
    <t>2025-AT-C397</t>
  </si>
  <si>
    <t>Muhummud Naushad Ally Luttoo</t>
  </si>
  <si>
    <t>2021-AT-C005</t>
  </si>
  <si>
    <t>MUHYETTİN ERZEN</t>
  </si>
  <si>
    <t>2023-AT-C174</t>
  </si>
  <si>
    <t>MUKADDES TUNÇKIR</t>
  </si>
  <si>
    <t>2022-AT-C032</t>
  </si>
  <si>
    <t>Mulyanto YS</t>
  </si>
  <si>
    <t>2021-AT-C014</t>
  </si>
  <si>
    <t>MURAT CAN TEZGÖREN</t>
  </si>
  <si>
    <t>2023-AT-C112</t>
  </si>
  <si>
    <t>2023-AT-C155</t>
  </si>
  <si>
    <t>Musa Yıldırım</t>
  </si>
  <si>
    <t>2022-AT-C013</t>
  </si>
  <si>
    <t>Mustafa Demirol</t>
  </si>
  <si>
    <t>2023-AT-C144</t>
  </si>
  <si>
    <t>Mustafa Fehmi Üstünsöz</t>
  </si>
  <si>
    <t>2024-AT-C243</t>
  </si>
  <si>
    <t>Mustafa Kayacan</t>
  </si>
  <si>
    <t>2024-AT-C302</t>
  </si>
  <si>
    <t>MUSTAFA SÖĞÜT</t>
  </si>
  <si>
    <t>2023-AT-C072</t>
  </si>
  <si>
    <t>Mustafa Yilmaz</t>
  </si>
  <si>
    <t>2022-AT-C010</t>
  </si>
  <si>
    <t>Necati Alperen Tezekici</t>
  </si>
  <si>
    <t>2023-AT-C074</t>
  </si>
  <si>
    <t>Necla Bilgin</t>
  </si>
  <si>
    <t>2025-AT-C445</t>
  </si>
  <si>
    <t>Nejla Arslan</t>
  </si>
  <si>
    <t>2022-AT-C041</t>
  </si>
  <si>
    <t>Neliz Çetiner</t>
  </si>
  <si>
    <t>2023-AT-C113</t>
  </si>
  <si>
    <t>2023-AT-C163</t>
  </si>
  <si>
    <t>Ni Wayan Giri Adnyani</t>
  </si>
  <si>
    <t>2021-AT-C015</t>
  </si>
  <si>
    <t>NİGAR AKÇA DURDU</t>
  </si>
  <si>
    <t>2024-AT-C277</t>
  </si>
  <si>
    <t>2024-AT-C282</t>
  </si>
  <si>
    <t>Nikolai Stashkevich</t>
  </si>
  <si>
    <t>2023-AT-C104</t>
  </si>
  <si>
    <t>Russian Federation</t>
  </si>
  <si>
    <t>NUKHET ELBİR</t>
  </si>
  <si>
    <t>2022-AT-C058</t>
  </si>
  <si>
    <t>Nurdan SÖZEN</t>
  </si>
  <si>
    <t>2023-AT-C090</t>
  </si>
  <si>
    <t>Ödül ÖZDAMAR</t>
  </si>
  <si>
    <t>2023-AT-C110</t>
  </si>
  <si>
    <t>OKAN ÖZDEMİR</t>
  </si>
  <si>
    <t>2022-AT-C042</t>
  </si>
  <si>
    <t>ÖMER FARUK FATSA</t>
  </si>
  <si>
    <t>2023-AT-C099</t>
  </si>
  <si>
    <t>2023-AT-C142</t>
  </si>
  <si>
    <t>Ömer Karayılan</t>
  </si>
  <si>
    <t>2025-AT-C392</t>
  </si>
  <si>
    <t>Ömer Osman Yıldız</t>
  </si>
  <si>
    <t>2025-AT-C409</t>
  </si>
  <si>
    <t>Omresh Bhugowandeen</t>
  </si>
  <si>
    <t>2021-AT-C007</t>
  </si>
  <si>
    <t>Onur Aksoy</t>
  </si>
  <si>
    <t>2022-AT-C007</t>
  </si>
  <si>
    <t>onur haluk KARADENIZ</t>
  </si>
  <si>
    <t>2025-AT-C435</t>
  </si>
  <si>
    <t>Orhan Özsezer</t>
  </si>
  <si>
    <t>2023-AT-C096</t>
  </si>
  <si>
    <t>Öykü Eroğlu</t>
  </si>
  <si>
    <t>2025-AT-C363</t>
  </si>
  <si>
    <t>ÖZDE NAZ ÖZLÜ</t>
  </si>
  <si>
    <t>2023-AT-C114</t>
  </si>
  <si>
    <t>2023-AT-C161</t>
  </si>
  <si>
    <t>Özge Akcasu</t>
  </si>
  <si>
    <t>2025-AT-C395</t>
  </si>
  <si>
    <t>ÖZGE HEMŞİNLİOĞLU</t>
  </si>
  <si>
    <t>2022-AT-C038</t>
  </si>
  <si>
    <t>ÖZGÜL SABİTOĞLU</t>
  </si>
  <si>
    <t>2022-AT-C033</t>
  </si>
  <si>
    <t>Özgür Mert AKÇAM</t>
  </si>
  <si>
    <t>2023-AT-C120</t>
  </si>
  <si>
    <t>ÖZLEM BİNGÖL</t>
  </si>
  <si>
    <t>2025-AT-C384</t>
  </si>
  <si>
    <t>ÖZLEM OKÇU</t>
  </si>
  <si>
    <t>2022-AT-C034</t>
  </si>
  <si>
    <t>ÖZLEM YILMAZ KIRARAZ</t>
  </si>
  <si>
    <t>2024-AT-C299</t>
  </si>
  <si>
    <t>Paola Oliver-Serret</t>
  </si>
  <si>
    <t>2023-AT-C125</t>
  </si>
  <si>
    <t>Patrick Kuehn</t>
  </si>
  <si>
    <t>2025-AT-C431</t>
  </si>
  <si>
    <t>2025-AT-C437</t>
  </si>
  <si>
    <t>Paulo Sarabanda</t>
  </si>
  <si>
    <t>2022-AT-C004-H</t>
  </si>
  <si>
    <t>2022-AT-C004-TO</t>
  </si>
  <si>
    <t>Pei Xuan Lee</t>
  </si>
  <si>
    <t>2024-AT-C213</t>
  </si>
  <si>
    <t>Pembe Gül Cingi</t>
  </si>
  <si>
    <t>2024-AT-C281</t>
  </si>
  <si>
    <t>Phoebe Wong</t>
  </si>
  <si>
    <t>2024-AT-C248</t>
  </si>
  <si>
    <t>Pinar Özbaltan</t>
  </si>
  <si>
    <t>2022-AT-C009-H</t>
  </si>
  <si>
    <t>Ploynita Teerathornchaiphat</t>
  </si>
  <si>
    <t>2025-AT-C430</t>
  </si>
  <si>
    <t>Pongsathorn Kamonpet</t>
  </si>
  <si>
    <t>2024-AT-C254</t>
  </si>
  <si>
    <t>2024-AT-C255</t>
  </si>
  <si>
    <t>Prihutami Rista Hermawati</t>
  </si>
  <si>
    <t>2021-AT-C020</t>
  </si>
  <si>
    <t>Pruktivud Chattaviriya</t>
  </si>
  <si>
    <t>2024-AT-C198</t>
  </si>
  <si>
    <t>Qian Wenlai</t>
  </si>
  <si>
    <t>2025-AT-C398</t>
  </si>
  <si>
    <t>2025-AT-C432</t>
  </si>
  <si>
    <t>Rafidah Subhan</t>
  </si>
  <si>
    <t>2023-AT-C183</t>
  </si>
  <si>
    <t>Rahm Garas</t>
  </si>
  <si>
    <t>2023-AT-C123</t>
  </si>
  <si>
    <t>Rahma Prihatini</t>
  </si>
  <si>
    <t>2021-AT-C016</t>
  </si>
  <si>
    <t>Ramsamy Anagerri Mootoo</t>
  </si>
  <si>
    <t>2021-AT-C004</t>
  </si>
  <si>
    <t>Recep Karota</t>
  </si>
  <si>
    <t>2022-AT-C040</t>
  </si>
  <si>
    <t>Regina Gonda</t>
  </si>
  <si>
    <t>2022-AT-C008</t>
  </si>
  <si>
    <t>RESUL İPEK</t>
  </si>
  <si>
    <t>2023-AT-C185</t>
  </si>
  <si>
    <t>REYHAN ÜNALDI</t>
  </si>
  <si>
    <t>2025-AT-C350</t>
  </si>
  <si>
    <t>Rocco Bonomo</t>
  </si>
  <si>
    <t>2023-AT-C138</t>
  </si>
  <si>
    <t>Italy / UK</t>
  </si>
  <si>
    <t>Rong Fu</t>
  </si>
  <si>
    <t>2025-AT-C413</t>
  </si>
  <si>
    <t>RONNIE ANTONIO DOS SANTOS LIMA</t>
  </si>
  <si>
    <t>2024-AT-C203</t>
  </si>
  <si>
    <t>Ryosuke Maniwa</t>
  </si>
  <si>
    <t>2025-AT-C423</t>
  </si>
  <si>
    <t>Sabina Mazzi</t>
  </si>
  <si>
    <t>2024-AT-C295</t>
  </si>
  <si>
    <t>Sabriye Şule Kaya</t>
  </si>
  <si>
    <t>2025-AT-C380</t>
  </si>
  <si>
    <t>Şadiye Yasemin Oker</t>
  </si>
  <si>
    <t>2024-AT-C207</t>
  </si>
  <si>
    <t>Saferoun Ghingut</t>
  </si>
  <si>
    <t>2021-AT-C009</t>
  </si>
  <si>
    <t>Şahin Sevrük</t>
  </si>
  <si>
    <t>2025-AT-C451</t>
  </si>
  <si>
    <t>SAKASHITA Momoka</t>
  </si>
  <si>
    <t>2025-AT-C419</t>
  </si>
  <si>
    <t>Salih Çiçek</t>
  </si>
  <si>
    <t>2024-AT-C259</t>
  </si>
  <si>
    <t>2024-AT-C274</t>
  </si>
  <si>
    <t>Sally (Heeyun) Shin</t>
  </si>
  <si>
    <t>2025-AT-C394</t>
  </si>
  <si>
    <t>Sami Ilker Canat</t>
  </si>
  <si>
    <t>2022-AT-C053</t>
  </si>
  <si>
    <t>Saminaden Pillay Kanaksabee</t>
  </si>
  <si>
    <t>2021-AT-C003</t>
  </si>
  <si>
    <t>Samiye Meral Özduru</t>
  </si>
  <si>
    <t>2025-AT-C381</t>
  </si>
  <si>
    <t>Sander Verschuren</t>
  </si>
  <si>
    <t>2023-AT-C137</t>
  </si>
  <si>
    <t>Saniye Yıldırım</t>
  </si>
  <si>
    <t>2024-AT-C297</t>
  </si>
  <si>
    <t>2024-AT-C311</t>
  </si>
  <si>
    <t>Sanjeev Kumar Gungeea</t>
  </si>
  <si>
    <t>2021-AT-C006</t>
  </si>
  <si>
    <t>Sanjeewa Senevirathna</t>
  </si>
  <si>
    <t>2025-AT-C371</t>
  </si>
  <si>
    <t>2025-AT-C374</t>
  </si>
  <si>
    <t>Sarayoot Siwasirikaroon</t>
  </si>
  <si>
    <t>2023-AT-C109</t>
  </si>
  <si>
    <t>Saul Antonio Blanco Sosa</t>
  </si>
  <si>
    <t>2024-AT-C241</t>
  </si>
  <si>
    <t>Guatemala</t>
  </si>
  <si>
    <t>2024-AT-C242</t>
  </si>
  <si>
    <t>Savaş Gökhan Namal</t>
  </si>
  <si>
    <t>2022-AT-C017</t>
  </si>
  <si>
    <t>Sean Li</t>
  </si>
  <si>
    <t>2025-AT-C382</t>
  </si>
  <si>
    <t>Seçil Tunçsav</t>
  </si>
  <si>
    <t>2024-AT-C257</t>
  </si>
  <si>
    <t>Seda Erkekli</t>
  </si>
  <si>
    <t>2023-AT-C069</t>
  </si>
  <si>
    <t>Seda Ture</t>
  </si>
  <si>
    <t>2022-AT-C003</t>
  </si>
  <si>
    <t>selda Yalçın Aydoğdu</t>
  </si>
  <si>
    <t>2024-AT-C190</t>
  </si>
  <si>
    <t>SELENGE BİRAVCI</t>
  </si>
  <si>
    <t>2022-AT-C060</t>
  </si>
  <si>
    <t>2023-AT-C066</t>
  </si>
  <si>
    <t>SERCAN GÜLIŞIK</t>
  </si>
  <si>
    <t>2023-AT-C156</t>
  </si>
  <si>
    <t>Serdar Gider</t>
  </si>
  <si>
    <t>2025-AT-C407</t>
  </si>
  <si>
    <t>Serena Quadri</t>
  </si>
  <si>
    <t>2024-AT-C247</t>
  </si>
  <si>
    <t>2025-AT-C352</t>
  </si>
  <si>
    <t>Serkan Ceylan</t>
  </si>
  <si>
    <t>2025-AT-C447</t>
  </si>
  <si>
    <t>Seung Hwan Seo</t>
  </si>
  <si>
    <t>2023-AT-C184</t>
  </si>
  <si>
    <t>ŞEYDA OTLUOĞLU KUYUMCU</t>
  </si>
  <si>
    <t>2025-AT-C385</t>
  </si>
  <si>
    <t>2025-AT-C414</t>
  </si>
  <si>
    <t>Sheik Muhammad Muzaffar Hoolash</t>
  </si>
  <si>
    <t>2021-AT-C008</t>
  </si>
  <si>
    <t>SİBEL KARACA DEMİRCİOĞLU</t>
  </si>
  <si>
    <t>2022-AT-C035</t>
  </si>
  <si>
    <t>Siti Salmah binti Abu Bakar</t>
  </si>
  <si>
    <t>2023-AT-C171</t>
  </si>
  <si>
    <t>Sonay Cantürk</t>
  </si>
  <si>
    <t>2022-AT-C014</t>
  </si>
  <si>
    <t>Soparat Bamrungsak</t>
  </si>
  <si>
    <t>2023-AT-C151</t>
  </si>
  <si>
    <t>SOTIRIS MILONAS</t>
  </si>
  <si>
    <t>2023-AT-C128</t>
  </si>
  <si>
    <t>SPYROS RAYIAS</t>
  </si>
  <si>
    <t>2023-AT-C130</t>
  </si>
  <si>
    <t>STAMATINA SYRIGOU</t>
  </si>
  <si>
    <t>2024-AT-C204</t>
  </si>
  <si>
    <t>Suela Tahiraj</t>
  </si>
  <si>
    <t>2024-AT-C321</t>
  </si>
  <si>
    <t>SULTAN GÜNAR</t>
  </si>
  <si>
    <t>2025-AT-C422</t>
  </si>
  <si>
    <t>SÜMEYRA DUYAR</t>
  </si>
  <si>
    <t>2022-AT-C062</t>
  </si>
  <si>
    <t>2023-AT-C067</t>
  </si>
  <si>
    <t>Susanne Reber</t>
  </si>
  <si>
    <t>2024-AT-C304</t>
  </si>
  <si>
    <t>Switzerland</t>
  </si>
  <si>
    <t>2024-AT-C309</t>
  </si>
  <si>
    <t>Takehisa SEKIYA</t>
  </si>
  <si>
    <t>2024-AT-C238</t>
  </si>
  <si>
    <t>2024-AT-C239</t>
  </si>
  <si>
    <t>Takeshi Kitamura</t>
  </si>
  <si>
    <t>2024-AT-C315</t>
  </si>
  <si>
    <t>Tara Hammond</t>
  </si>
  <si>
    <t>2025-AT-C370</t>
  </si>
  <si>
    <t>2025-AT-C428</t>
  </si>
  <si>
    <t>Tatsushi Yamada</t>
  </si>
  <si>
    <t>2025-AT-C416</t>
  </si>
  <si>
    <t>Titipong Vorathumthongdee</t>
  </si>
  <si>
    <t>2024-AT-C191</t>
  </si>
  <si>
    <t>TRUONG NGUYEN BAO TRAM</t>
  </si>
  <si>
    <t>2023-AT-C148</t>
  </si>
  <si>
    <t>Viet Nam</t>
  </si>
  <si>
    <t>2023-AT-C175</t>
  </si>
  <si>
    <t>Tuba Kaya</t>
  </si>
  <si>
    <t>2024-AT-C211</t>
  </si>
  <si>
    <t>2024-AT-C227</t>
  </si>
  <si>
    <t>Tuğçe Atıcı Keskin</t>
  </si>
  <si>
    <t>2023-AT-C070</t>
  </si>
  <si>
    <t>tuğçe ertan meriç</t>
  </si>
  <si>
    <t>2024-AT-C323</t>
  </si>
  <si>
    <t>Tugce Tapan</t>
  </si>
  <si>
    <t>2022-AT-C005</t>
  </si>
  <si>
    <t>TÜRKAN GEZER</t>
  </si>
  <si>
    <t>2025-AT-C415</t>
  </si>
  <si>
    <t>2025-AT-C436</t>
  </si>
  <si>
    <t>Türkan Sinem Uçar</t>
  </si>
  <si>
    <t>2023-AT-C117</t>
  </si>
  <si>
    <t>2023-AT-C143</t>
  </si>
  <si>
    <t>UĞUR PEKBAY</t>
  </si>
  <si>
    <t>2022-AT-C036</t>
  </si>
  <si>
    <t>Ulfa Khairunnisa Hakim</t>
  </si>
  <si>
    <t>2024-AT-C234</t>
  </si>
  <si>
    <t>2024-AT-C250</t>
  </si>
  <si>
    <t>ÜMİT METİN</t>
  </si>
  <si>
    <t>2025-AT-C406</t>
  </si>
  <si>
    <t>UTKU OKAY</t>
  </si>
  <si>
    <t>2022-AT-C037</t>
  </si>
  <si>
    <t>UXUE AZPIROZ</t>
  </si>
  <si>
    <t>2024-AT-C201</t>
  </si>
  <si>
    <t>Valdir César Pereira Alves</t>
  </si>
  <si>
    <t>2023-AT-C167</t>
  </si>
  <si>
    <t>2024-AT-C200</t>
  </si>
  <si>
    <t>Valentina Favale</t>
  </si>
  <si>
    <t>2024-AT-C306</t>
  </si>
  <si>
    <t>vesile cansu üstüntaş</t>
  </si>
  <si>
    <t>2024-AT-C269</t>
  </si>
  <si>
    <t>Vildan Cihantimur</t>
  </si>
  <si>
    <t>2023-AT-C092</t>
  </si>
  <si>
    <t>Vincent Ng Cheng Leng</t>
  </si>
  <si>
    <t>2025-AT-C403</t>
  </si>
  <si>
    <t>2025-AT-C433</t>
  </si>
  <si>
    <t>Wade Lin</t>
  </si>
  <si>
    <t>2025-AT-C427</t>
  </si>
  <si>
    <t>Wee Lee Tan</t>
  </si>
  <si>
    <t>2023-AT-C088</t>
  </si>
  <si>
    <t>Xinran Yu</t>
  </si>
  <si>
    <t>2023-AT-C102</t>
  </si>
  <si>
    <t>2023-AT-C107</t>
  </si>
  <si>
    <t>Yahya Emin Demirci</t>
  </si>
  <si>
    <t>2023-AT-C097</t>
  </si>
  <si>
    <t>YALIN BOZKURT</t>
  </si>
  <si>
    <t>2022-AT-C039</t>
  </si>
  <si>
    <t>Yasin Ekizoğlu</t>
  </si>
  <si>
    <t>2024-AT-C206</t>
  </si>
  <si>
    <t>Yavuz Kurtulan</t>
  </si>
  <si>
    <t>2024-AT-C271</t>
  </si>
  <si>
    <t>Yeap Hooi Kim</t>
  </si>
  <si>
    <t>2024-AT-C260</t>
  </si>
  <si>
    <t>2024-AT-C261</t>
  </si>
  <si>
    <t>Yener Kestel</t>
  </si>
  <si>
    <t>2023-AT-C086</t>
  </si>
  <si>
    <t>YENİŞ ÇELİKTEN</t>
  </si>
  <si>
    <t>2025-AT-C452</t>
  </si>
  <si>
    <t>Yibo Kang</t>
  </si>
  <si>
    <t>2025-AT-C425</t>
  </si>
  <si>
    <t>Yin Ying Wong</t>
  </si>
  <si>
    <t>2025-AT-C429</t>
  </si>
  <si>
    <t>Yong Yong, Joan Lee</t>
  </si>
  <si>
    <t>2023-AT-C118</t>
  </si>
  <si>
    <t>Yuki KOSAKA</t>
  </si>
  <si>
    <t>2024-AT-C231</t>
  </si>
  <si>
    <t>2024-AT-C232</t>
  </si>
  <si>
    <t>Yunus İNEL</t>
  </si>
  <si>
    <t>2023-AT-C158</t>
  </si>
  <si>
    <t>Yusuf CELIK</t>
  </si>
  <si>
    <t>2023-AT-C121</t>
  </si>
  <si>
    <t>Zed Bates</t>
  </si>
  <si>
    <t>2024-AT-C235</t>
  </si>
  <si>
    <t>ZEHRA OMAK</t>
  </si>
  <si>
    <t>2025-AT-C443</t>
  </si>
  <si>
    <t>Zhao Jin</t>
  </si>
  <si>
    <t>2025-AT-C346</t>
  </si>
  <si>
    <t>Zifang Zhong</t>
  </si>
  <si>
    <t>2024-AT-C324</t>
  </si>
  <si>
    <t>Ziya Keskin</t>
  </si>
  <si>
    <t>2025-AT-C400</t>
  </si>
  <si>
    <t>Zuhal Beşikkaya</t>
  </si>
  <si>
    <t>2025-AT-C373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</si>
</sst>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&quot; &quot;d&quot;, &quot;yyyy"/>
  </numFmts>
  <fonts count="7">
    <font>
      <sz val="10.0"/>
      <color rgb="FF000000"/>
      <name val="Arial"/>
      <scheme val="minor"/>
    </font>
    <font>
      <b/>
      <sz val="15.0"/>
      <color theme="1"/>
      <name val="Arial"/>
    </font>
    <font>
      <color theme="1"/>
      <name val="Arial"/>
    </font>
    <font>
      <b/>
      <color rgb="FFFF0000"/>
      <name val="Arial"/>
      <scheme val="minor"/>
    </font>
    <font>
      <b/>
      <color rgb="FFFFFFFF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274E13"/>
        <bgColor rgb="FF274E13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vertical="bottom"/>
    </xf>
    <xf borderId="0" fillId="0" fontId="2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2" fontId="2" numFmtId="0" xfId="0" applyAlignment="1" applyFill="1" applyFont="1">
      <alignment shrinkToFit="0" vertical="bottom" wrapText="0"/>
    </xf>
    <xf borderId="0" fillId="0" fontId="2" numFmtId="164" xfId="0" applyAlignment="1" applyFont="1" applyNumberFormat="1">
      <alignment vertical="bottom"/>
    </xf>
    <xf borderId="0" fillId="0" fontId="2" numFmtId="49" xfId="0" applyAlignment="1" applyFont="1" applyNumberFormat="1">
      <alignment shrinkToFit="0" vertical="bottom" wrapText="1"/>
    </xf>
    <xf borderId="0" fillId="2" fontId="3" numFmtId="0" xfId="0" applyAlignment="1" applyFont="1">
      <alignment readingOrder="0" shrinkToFit="0" wrapText="0"/>
    </xf>
    <xf borderId="0" fillId="3" fontId="4" numFmtId="49" xfId="0" applyAlignment="1" applyFill="1" applyFont="1" applyNumberFormat="1">
      <alignment vertical="bottom"/>
    </xf>
    <xf borderId="0" fillId="3" fontId="4" numFmtId="0" xfId="0" applyAlignment="1" applyFont="1">
      <alignment horizontal="right" vertical="bottom"/>
    </xf>
    <xf borderId="0" fillId="3" fontId="4" numFmtId="0" xfId="0" applyAlignment="1" applyFont="1">
      <alignment vertical="bottom"/>
    </xf>
    <xf borderId="0" fillId="2" fontId="5" numFmtId="0" xfId="0" applyAlignment="1" applyFont="1">
      <alignment readingOrder="0" shrinkToFit="0" wrapText="0"/>
    </xf>
    <xf borderId="0" fillId="4" fontId="6" numFmtId="0" xfId="0" applyFill="1" applyFont="1"/>
    <xf borderId="0" fillId="0" fontId="6" numFmtId="0" xfId="0" applyFont="1"/>
    <xf borderId="0" fillId="0" fontId="6" numFmtId="0" xfId="0" applyAlignment="1" applyFont="1">
      <alignment horizontal="right"/>
    </xf>
    <xf borderId="0" fillId="2" fontId="6" numFmtId="0" xfId="0" applyAlignment="1" applyFont="1">
      <alignment shrinkToFit="0" wrapText="0"/>
    </xf>
    <xf borderId="0" fillId="0" fontId="6" numFmtId="164" xfId="0" applyAlignment="1" applyFont="1" applyNumberFormat="1">
      <alignment horizontal="right"/>
    </xf>
    <xf borderId="0" fillId="0" fontId="6" numFmtId="49" xfId="0" applyFont="1" applyNumberFormat="1"/>
    <xf borderId="0" fillId="0" fontId="6" numFmtId="164" xfId="0" applyFont="1" applyNumberFormat="1"/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38"/>
    <col customWidth="1" min="2" max="2" width="19.13"/>
    <col customWidth="1" min="3" max="3" width="17.0"/>
    <col customWidth="1" min="5" max="5" width="15.75"/>
    <col customWidth="1" min="6" max="6" width="22.63"/>
  </cols>
  <sheetData>
    <row r="1">
      <c r="A1" s="1" t="s">
        <v>0</v>
      </c>
      <c r="B1" s="2"/>
      <c r="C1" s="3"/>
      <c r="D1" s="2"/>
      <c r="E1" s="4"/>
      <c r="F1" s="5"/>
      <c r="G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2"/>
      <c r="B2" s="2"/>
      <c r="C2" s="3"/>
      <c r="D2" s="2"/>
      <c r="E2" s="4"/>
      <c r="F2" s="5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7" t="s">
        <v>1</v>
      </c>
      <c r="F3" s="5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2"/>
      <c r="B4" s="2"/>
      <c r="C4" s="3"/>
      <c r="D4" s="2"/>
      <c r="E4" s="4"/>
      <c r="F4" s="8" t="s">
        <v>2</v>
      </c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9" t="s">
        <v>3</v>
      </c>
      <c r="B5" s="9" t="s">
        <v>4</v>
      </c>
      <c r="C5" s="10" t="s">
        <v>5</v>
      </c>
      <c r="D5" s="9" t="s">
        <v>6</v>
      </c>
      <c r="E5" s="11" t="s">
        <v>7</v>
      </c>
      <c r="F5" s="12" t="s">
        <v>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13" t="str">
        <f>IFERROR(__xludf.DUMMYFUNCTION("QUERY(
  {
    IMPORTRANGE(""https://docs.google.com/spreadsheets/d/1Srath_8jEAc5Su6QR4Lr-Zq-gGr-YmfiSadiiVgFOo0/edit?usp=sharing"", ""Certificate!A6:F1000"")
  },
  ""SELECT Col1, Col2, Col3, Col4, Col5, Col6 WHERE Col1 IS NOT NULL"",
  1
)"),"Deveena Boygah")</f>
        <v>Deveena Boygah</v>
      </c>
      <c r="B6" s="14" t="str">
        <f>IFERROR(__xludf.DUMMYFUNCTION("""COMPUTED_VALUE"""),"2021-AT-C001")</f>
        <v>2021-AT-C001</v>
      </c>
      <c r="C6" s="15" t="str">
        <f>IFERROR(__xludf.DUMMYFUNCTION("""COMPUTED_VALUE"""),"Apr 16, 2021")</f>
        <v>Apr 16, 2021</v>
      </c>
      <c r="D6" s="14" t="str">
        <f>IFERROR(__xludf.DUMMYFUNCTION("""COMPUTED_VALUE"""),"HTO")</f>
        <v>HTO</v>
      </c>
      <c r="E6" s="14" t="str">
        <f>IFERROR(__xludf.DUMMYFUNCTION("""COMPUTED_VALUE"""),"Mauritius")</f>
        <v>Mauritius</v>
      </c>
      <c r="F6" s="16" t="str">
        <f>IFERROR(__xludf.DUMMYFUNCTION("""COMPUTED_VALUE"""),"MSB")</f>
        <v>MSB</v>
      </c>
    </row>
    <row r="7">
      <c r="A7" s="14" t="str">
        <f>IFERROR(__xludf.DUMMYFUNCTION("""COMPUTED_VALUE"""),"Mohammud Yusuf Foondun")</f>
        <v>Mohammud Yusuf Foondun</v>
      </c>
      <c r="B7" s="14" t="str">
        <f>IFERROR(__xludf.DUMMYFUNCTION("""COMPUTED_VALUE"""),"2021-AT-C002")</f>
        <v>2021-AT-C002</v>
      </c>
      <c r="C7" s="17">
        <f>IFERROR(__xludf.DUMMYFUNCTION("""COMPUTED_VALUE"""),44302.0)</f>
        <v>44302</v>
      </c>
      <c r="D7" s="14" t="str">
        <f>IFERROR(__xludf.DUMMYFUNCTION("""COMPUTED_VALUE"""),"HTO")</f>
        <v>HTO</v>
      </c>
      <c r="E7" s="14" t="str">
        <f>IFERROR(__xludf.DUMMYFUNCTION("""COMPUTED_VALUE"""),"Mauritius")</f>
        <v>Mauritius</v>
      </c>
      <c r="F7" s="16" t="str">
        <f>IFERROR(__xludf.DUMMYFUNCTION("""COMPUTED_VALUE"""),"MSB")</f>
        <v>MSB</v>
      </c>
    </row>
    <row r="8">
      <c r="A8" s="14" t="str">
        <f>IFERROR(__xludf.DUMMYFUNCTION("""COMPUTED_VALUE"""),"Saminaden Pillay Kanaksabee")</f>
        <v>Saminaden Pillay Kanaksabee</v>
      </c>
      <c r="B8" s="14" t="str">
        <f>IFERROR(__xludf.DUMMYFUNCTION("""COMPUTED_VALUE"""),"2021-AT-C003")</f>
        <v>2021-AT-C003</v>
      </c>
      <c r="C8" s="17">
        <f>IFERROR(__xludf.DUMMYFUNCTION("""COMPUTED_VALUE"""),44302.0)</f>
        <v>44302</v>
      </c>
      <c r="D8" s="14" t="str">
        <f>IFERROR(__xludf.DUMMYFUNCTION("""COMPUTED_VALUE"""),"HTO")</f>
        <v>HTO</v>
      </c>
      <c r="E8" s="14" t="str">
        <f>IFERROR(__xludf.DUMMYFUNCTION("""COMPUTED_VALUE"""),"Mauritius")</f>
        <v>Mauritius</v>
      </c>
      <c r="F8" s="16" t="str">
        <f>IFERROR(__xludf.DUMMYFUNCTION("""COMPUTED_VALUE"""),"MSB")</f>
        <v>MSB</v>
      </c>
    </row>
    <row r="9">
      <c r="A9" s="14" t="str">
        <f>IFERROR(__xludf.DUMMYFUNCTION("""COMPUTED_VALUE"""),"Ramsamy Anagerri Mootoo")</f>
        <v>Ramsamy Anagerri Mootoo</v>
      </c>
      <c r="B9" s="14" t="str">
        <f>IFERROR(__xludf.DUMMYFUNCTION("""COMPUTED_VALUE"""),"2021-AT-C004")</f>
        <v>2021-AT-C004</v>
      </c>
      <c r="C9" s="17">
        <f>IFERROR(__xludf.DUMMYFUNCTION("""COMPUTED_VALUE"""),44302.0)</f>
        <v>44302</v>
      </c>
      <c r="D9" s="14" t="str">
        <f>IFERROR(__xludf.DUMMYFUNCTION("""COMPUTED_VALUE"""),"HTO")</f>
        <v>HTO</v>
      </c>
      <c r="E9" s="14" t="str">
        <f>IFERROR(__xludf.DUMMYFUNCTION("""COMPUTED_VALUE"""),"Mauritius")</f>
        <v>Mauritius</v>
      </c>
      <c r="F9" s="16" t="str">
        <f>IFERROR(__xludf.DUMMYFUNCTION("""COMPUTED_VALUE"""),"MSB")</f>
        <v>MSB</v>
      </c>
    </row>
    <row r="10">
      <c r="A10" s="14" t="str">
        <f>IFERROR(__xludf.DUMMYFUNCTION("""COMPUTED_VALUE"""),"Muhummud Naushad Ally Luttoo")</f>
        <v>Muhummud Naushad Ally Luttoo</v>
      </c>
      <c r="B10" s="14" t="str">
        <f>IFERROR(__xludf.DUMMYFUNCTION("""COMPUTED_VALUE"""),"2021-AT-C005")</f>
        <v>2021-AT-C005</v>
      </c>
      <c r="C10" s="17">
        <f>IFERROR(__xludf.DUMMYFUNCTION("""COMPUTED_VALUE"""),44302.0)</f>
        <v>44302</v>
      </c>
      <c r="D10" s="14" t="str">
        <f>IFERROR(__xludf.DUMMYFUNCTION("""COMPUTED_VALUE"""),"HTO")</f>
        <v>HTO</v>
      </c>
      <c r="E10" s="14" t="str">
        <f>IFERROR(__xludf.DUMMYFUNCTION("""COMPUTED_VALUE"""),"Mauritius")</f>
        <v>Mauritius</v>
      </c>
      <c r="F10" s="16" t="str">
        <f>IFERROR(__xludf.DUMMYFUNCTION("""COMPUTED_VALUE"""),"MSB")</f>
        <v>MSB</v>
      </c>
    </row>
    <row r="11">
      <c r="A11" s="14" t="str">
        <f>IFERROR(__xludf.DUMMYFUNCTION("""COMPUTED_VALUE"""),"Sanjeev Kumar Gungeea")</f>
        <v>Sanjeev Kumar Gungeea</v>
      </c>
      <c r="B11" s="14" t="str">
        <f>IFERROR(__xludf.DUMMYFUNCTION("""COMPUTED_VALUE"""),"2021-AT-C006")</f>
        <v>2021-AT-C006</v>
      </c>
      <c r="C11" s="17">
        <f>IFERROR(__xludf.DUMMYFUNCTION("""COMPUTED_VALUE"""),44302.0)</f>
        <v>44302</v>
      </c>
      <c r="D11" s="14" t="str">
        <f>IFERROR(__xludf.DUMMYFUNCTION("""COMPUTED_VALUE"""),"HTO")</f>
        <v>HTO</v>
      </c>
      <c r="E11" s="14" t="str">
        <f>IFERROR(__xludf.DUMMYFUNCTION("""COMPUTED_VALUE"""),"Mauritius")</f>
        <v>Mauritius</v>
      </c>
      <c r="F11" s="16" t="str">
        <f>IFERROR(__xludf.DUMMYFUNCTION("""COMPUTED_VALUE"""),"MSB")</f>
        <v>MSB</v>
      </c>
    </row>
    <row r="12">
      <c r="A12" s="14" t="str">
        <f>IFERROR(__xludf.DUMMYFUNCTION("""COMPUTED_VALUE"""),"Omresh Bhugowandeen")</f>
        <v>Omresh Bhugowandeen</v>
      </c>
      <c r="B12" s="14" t="str">
        <f>IFERROR(__xludf.DUMMYFUNCTION("""COMPUTED_VALUE"""),"2021-AT-C007")</f>
        <v>2021-AT-C007</v>
      </c>
      <c r="C12" s="17">
        <f>IFERROR(__xludf.DUMMYFUNCTION("""COMPUTED_VALUE"""),44302.0)</f>
        <v>44302</v>
      </c>
      <c r="D12" s="14" t="str">
        <f>IFERROR(__xludf.DUMMYFUNCTION("""COMPUTED_VALUE"""),"HTO")</f>
        <v>HTO</v>
      </c>
      <c r="E12" s="14" t="str">
        <f>IFERROR(__xludf.DUMMYFUNCTION("""COMPUTED_VALUE"""),"Mauritius")</f>
        <v>Mauritius</v>
      </c>
      <c r="F12" s="16" t="str">
        <f>IFERROR(__xludf.DUMMYFUNCTION("""COMPUTED_VALUE"""),"MSB")</f>
        <v>MSB</v>
      </c>
    </row>
    <row r="13">
      <c r="A13" s="14" t="str">
        <f>IFERROR(__xludf.DUMMYFUNCTION("""COMPUTED_VALUE"""),"Sheik Muhammad Muzaffar Hoolash")</f>
        <v>Sheik Muhammad Muzaffar Hoolash</v>
      </c>
      <c r="B13" s="14" t="str">
        <f>IFERROR(__xludf.DUMMYFUNCTION("""COMPUTED_VALUE"""),"2021-AT-C008")</f>
        <v>2021-AT-C008</v>
      </c>
      <c r="C13" s="17">
        <f>IFERROR(__xludf.DUMMYFUNCTION("""COMPUTED_VALUE"""),44302.0)</f>
        <v>44302</v>
      </c>
      <c r="D13" s="14" t="str">
        <f>IFERROR(__xludf.DUMMYFUNCTION("""COMPUTED_VALUE"""),"HTO")</f>
        <v>HTO</v>
      </c>
      <c r="E13" s="14" t="str">
        <f>IFERROR(__xludf.DUMMYFUNCTION("""COMPUTED_VALUE"""),"Mauritius")</f>
        <v>Mauritius</v>
      </c>
      <c r="F13" s="16" t="str">
        <f>IFERROR(__xludf.DUMMYFUNCTION("""COMPUTED_VALUE"""),"MSB")</f>
        <v>MSB</v>
      </c>
    </row>
    <row r="14">
      <c r="A14" s="14" t="str">
        <f>IFERROR(__xludf.DUMMYFUNCTION("""COMPUTED_VALUE"""),"Saferoun Ghingut")</f>
        <v>Saferoun Ghingut</v>
      </c>
      <c r="B14" s="14" t="str">
        <f>IFERROR(__xludf.DUMMYFUNCTION("""COMPUTED_VALUE"""),"2021-AT-C009")</f>
        <v>2021-AT-C009</v>
      </c>
      <c r="C14" s="17">
        <f>IFERROR(__xludf.DUMMYFUNCTION("""COMPUTED_VALUE"""),44302.0)</f>
        <v>44302</v>
      </c>
      <c r="D14" s="14" t="str">
        <f>IFERROR(__xludf.DUMMYFUNCTION("""COMPUTED_VALUE"""),"HTO")</f>
        <v>HTO</v>
      </c>
      <c r="E14" s="14" t="str">
        <f>IFERROR(__xludf.DUMMYFUNCTION("""COMPUTED_VALUE"""),"Mauritius")</f>
        <v>Mauritius</v>
      </c>
      <c r="F14" s="16" t="str">
        <f>IFERROR(__xludf.DUMMYFUNCTION("""COMPUTED_VALUE"""),"MSB")</f>
        <v>MSB</v>
      </c>
    </row>
    <row r="15">
      <c r="A15" s="14" t="str">
        <f>IFERROR(__xludf.DUMMYFUNCTION("""COMPUTED_VALUE"""),"Jeroen Van Merode")</f>
        <v>Jeroen Van Merode</v>
      </c>
      <c r="B15" s="14" t="str">
        <f>IFERROR(__xludf.DUMMYFUNCTION("""COMPUTED_VALUE"""),"2021-AT-C010")</f>
        <v>2021-AT-C010</v>
      </c>
      <c r="C15" s="17">
        <f>IFERROR(__xludf.DUMMYFUNCTION("""COMPUTED_VALUE"""),44302.0)</f>
        <v>44302</v>
      </c>
      <c r="D15" s="14" t="str">
        <f>IFERROR(__xludf.DUMMYFUNCTION("""COMPUTED_VALUE"""),"HTO")</f>
        <v>HTO</v>
      </c>
      <c r="E15" s="14" t="str">
        <f>IFERROR(__xludf.DUMMYFUNCTION("""COMPUTED_VALUE"""),"The Netherlands")</f>
        <v>The Netherlands</v>
      </c>
      <c r="F15" s="16" t="str">
        <f>IFERROR(__xludf.DUMMYFUNCTION("""COMPUTED_VALUE"""),"Vireo Sustainable Certification Sdn. Bhd.")</f>
        <v>Vireo Sustainable Certification Sdn. Bhd.</v>
      </c>
    </row>
    <row r="16">
      <c r="A16" s="14" t="str">
        <f>IFERROR(__xludf.DUMMYFUNCTION("""COMPUTED_VALUE"""),"Ali Nurman")</f>
        <v>Ali Nurman</v>
      </c>
      <c r="B16" s="14" t="str">
        <f>IFERROR(__xludf.DUMMYFUNCTION("""COMPUTED_VALUE"""),"2021-AT-C011")</f>
        <v>2021-AT-C011</v>
      </c>
      <c r="C16" s="17">
        <f>IFERROR(__xludf.DUMMYFUNCTION("""COMPUTED_VALUE"""),44441.0)</f>
        <v>44441</v>
      </c>
      <c r="D16" s="14" t="str">
        <f>IFERROR(__xludf.DUMMYFUNCTION("""COMPUTED_VALUE"""),"D")</f>
        <v>D</v>
      </c>
      <c r="E16" s="14" t="str">
        <f>IFERROR(__xludf.DUMMYFUNCTION("""COMPUTED_VALUE"""),"Indonesia")</f>
        <v>Indonesia</v>
      </c>
      <c r="F16" s="16" t="str">
        <f>IFERROR(__xludf.DUMMYFUNCTION("""COMPUTED_VALUE"""),"Indonesian Ministry")</f>
        <v>Indonesian Ministry</v>
      </c>
    </row>
    <row r="17">
      <c r="A17" s="14" t="str">
        <f>IFERROR(__xludf.DUMMYFUNCTION("""COMPUTED_VALUE"""),"Dimas Galih Anggoro")</f>
        <v>Dimas Galih Anggoro</v>
      </c>
      <c r="B17" s="14" t="str">
        <f>IFERROR(__xludf.DUMMYFUNCTION("""COMPUTED_VALUE"""),"2021-AT-C012")</f>
        <v>2021-AT-C012</v>
      </c>
      <c r="C17" s="17">
        <f>IFERROR(__xludf.DUMMYFUNCTION("""COMPUTED_VALUE"""),44441.0)</f>
        <v>44441</v>
      </c>
      <c r="D17" s="14" t="str">
        <f>IFERROR(__xludf.DUMMYFUNCTION("""COMPUTED_VALUE"""),"D")</f>
        <v>D</v>
      </c>
      <c r="E17" s="14" t="str">
        <f>IFERROR(__xludf.DUMMYFUNCTION("""COMPUTED_VALUE"""),"Indonesia")</f>
        <v>Indonesia</v>
      </c>
      <c r="F17" s="16" t="str">
        <f>IFERROR(__xludf.DUMMYFUNCTION("""COMPUTED_VALUE"""),"Indonesian Ministry")</f>
        <v>Indonesian Ministry</v>
      </c>
    </row>
    <row r="18">
      <c r="A18" s="14" t="str">
        <f>IFERROR(__xludf.DUMMYFUNCTION("""COMPUTED_VALUE"""),"Erric Raymond Tatimu")</f>
        <v>Erric Raymond Tatimu</v>
      </c>
      <c r="B18" s="14" t="str">
        <f>IFERROR(__xludf.DUMMYFUNCTION("""COMPUTED_VALUE"""),"2021-AT-C013")</f>
        <v>2021-AT-C013</v>
      </c>
      <c r="C18" s="17">
        <f>IFERROR(__xludf.DUMMYFUNCTION("""COMPUTED_VALUE"""),44441.0)</f>
        <v>44441</v>
      </c>
      <c r="D18" s="14" t="str">
        <f>IFERROR(__xludf.DUMMYFUNCTION("""COMPUTED_VALUE"""),"D")</f>
        <v>D</v>
      </c>
      <c r="E18" s="14" t="str">
        <f>IFERROR(__xludf.DUMMYFUNCTION("""COMPUTED_VALUE"""),"Indonesia")</f>
        <v>Indonesia</v>
      </c>
      <c r="F18" s="16" t="str">
        <f>IFERROR(__xludf.DUMMYFUNCTION("""COMPUTED_VALUE"""),"Indonesian Ministry")</f>
        <v>Indonesian Ministry</v>
      </c>
    </row>
    <row r="19">
      <c r="A19" s="14" t="str">
        <f>IFERROR(__xludf.DUMMYFUNCTION("""COMPUTED_VALUE"""),"Mulyanto YS")</f>
        <v>Mulyanto YS</v>
      </c>
      <c r="B19" s="14" t="str">
        <f>IFERROR(__xludf.DUMMYFUNCTION("""COMPUTED_VALUE"""),"2021-AT-C014")</f>
        <v>2021-AT-C014</v>
      </c>
      <c r="C19" s="17">
        <f>IFERROR(__xludf.DUMMYFUNCTION("""COMPUTED_VALUE"""),44441.0)</f>
        <v>44441</v>
      </c>
      <c r="D19" s="14" t="str">
        <f>IFERROR(__xludf.DUMMYFUNCTION("""COMPUTED_VALUE"""),"D")</f>
        <v>D</v>
      </c>
      <c r="E19" s="14" t="str">
        <f>IFERROR(__xludf.DUMMYFUNCTION("""COMPUTED_VALUE"""),"Indonesia")</f>
        <v>Indonesia</v>
      </c>
      <c r="F19" s="16" t="str">
        <f>IFERROR(__xludf.DUMMYFUNCTION("""COMPUTED_VALUE"""),"Indonesian Ministry")</f>
        <v>Indonesian Ministry</v>
      </c>
    </row>
    <row r="20">
      <c r="A20" s="14" t="str">
        <f>IFERROR(__xludf.DUMMYFUNCTION("""COMPUTED_VALUE"""),"Ni Wayan Giri Adnyani")</f>
        <v>Ni Wayan Giri Adnyani</v>
      </c>
      <c r="B20" s="14" t="str">
        <f>IFERROR(__xludf.DUMMYFUNCTION("""COMPUTED_VALUE"""),"2021-AT-C015")</f>
        <v>2021-AT-C015</v>
      </c>
      <c r="C20" s="17">
        <f>IFERROR(__xludf.DUMMYFUNCTION("""COMPUTED_VALUE"""),44441.0)</f>
        <v>44441</v>
      </c>
      <c r="D20" s="14" t="str">
        <f>IFERROR(__xludf.DUMMYFUNCTION("""COMPUTED_VALUE"""),"D")</f>
        <v>D</v>
      </c>
      <c r="E20" s="14" t="str">
        <f>IFERROR(__xludf.DUMMYFUNCTION("""COMPUTED_VALUE"""),"Indonesia")</f>
        <v>Indonesia</v>
      </c>
      <c r="F20" s="16" t="str">
        <f>IFERROR(__xludf.DUMMYFUNCTION("""COMPUTED_VALUE"""),"Indonesian Ministry")</f>
        <v>Indonesian Ministry</v>
      </c>
    </row>
    <row r="21">
      <c r="A21" s="14" t="str">
        <f>IFERROR(__xludf.DUMMYFUNCTION("""COMPUTED_VALUE"""),"Rahma Prihatini")</f>
        <v>Rahma Prihatini</v>
      </c>
      <c r="B21" s="14" t="str">
        <f>IFERROR(__xludf.DUMMYFUNCTION("""COMPUTED_VALUE"""),"2021-AT-C016")</f>
        <v>2021-AT-C016</v>
      </c>
      <c r="C21" s="17">
        <f>IFERROR(__xludf.DUMMYFUNCTION("""COMPUTED_VALUE"""),44441.0)</f>
        <v>44441</v>
      </c>
      <c r="D21" s="14" t="str">
        <f>IFERROR(__xludf.DUMMYFUNCTION("""COMPUTED_VALUE"""),"D")</f>
        <v>D</v>
      </c>
      <c r="E21" s="14" t="str">
        <f>IFERROR(__xludf.DUMMYFUNCTION("""COMPUTED_VALUE"""),"Indonesia")</f>
        <v>Indonesia</v>
      </c>
      <c r="F21" s="16" t="str">
        <f>IFERROR(__xludf.DUMMYFUNCTION("""COMPUTED_VALUE"""),"Indonesian Ministry")</f>
        <v>Indonesian Ministry</v>
      </c>
    </row>
    <row r="22">
      <c r="A22" s="14" t="str">
        <f>IFERROR(__xludf.DUMMYFUNCTION("""COMPUTED_VALUE"""),"Muh Nurdin")</f>
        <v>Muh Nurdin</v>
      </c>
      <c r="B22" s="14" t="str">
        <f>IFERROR(__xludf.DUMMYFUNCTION("""COMPUTED_VALUE"""),"2021-AT-C017")</f>
        <v>2021-AT-C017</v>
      </c>
      <c r="C22" s="17">
        <f>IFERROR(__xludf.DUMMYFUNCTION("""COMPUTED_VALUE"""),44441.0)</f>
        <v>44441</v>
      </c>
      <c r="D22" s="14" t="str">
        <f>IFERROR(__xludf.DUMMYFUNCTION("""COMPUTED_VALUE"""),"D")</f>
        <v>D</v>
      </c>
      <c r="E22" s="14" t="str">
        <f>IFERROR(__xludf.DUMMYFUNCTION("""COMPUTED_VALUE"""),"Indonesia")</f>
        <v>Indonesia</v>
      </c>
      <c r="F22" s="16" t="str">
        <f>IFERROR(__xludf.DUMMYFUNCTION("""COMPUTED_VALUE"""),"Indonesian Ministry")</f>
        <v>Indonesian Ministry</v>
      </c>
    </row>
    <row r="23">
      <c r="A23" s="14" t="str">
        <f>IFERROR(__xludf.DUMMYFUNCTION("""COMPUTED_VALUE"""),"Andika Budiningtyas")</f>
        <v>Andika Budiningtyas</v>
      </c>
      <c r="B23" s="14" t="str">
        <f>IFERROR(__xludf.DUMMYFUNCTION("""COMPUTED_VALUE"""),"2021-AT-C018")</f>
        <v>2021-AT-C018</v>
      </c>
      <c r="C23" s="17">
        <f>IFERROR(__xludf.DUMMYFUNCTION("""COMPUTED_VALUE"""),44441.0)</f>
        <v>44441</v>
      </c>
      <c r="D23" s="14" t="str">
        <f>IFERROR(__xludf.DUMMYFUNCTION("""COMPUTED_VALUE"""),"D")</f>
        <v>D</v>
      </c>
      <c r="E23" s="14" t="str">
        <f>IFERROR(__xludf.DUMMYFUNCTION("""COMPUTED_VALUE"""),"Indonesia")</f>
        <v>Indonesia</v>
      </c>
      <c r="F23" s="16" t="str">
        <f>IFERROR(__xludf.DUMMYFUNCTION("""COMPUTED_VALUE"""),"Indonesian Ministry")</f>
        <v>Indonesian Ministry</v>
      </c>
    </row>
    <row r="24">
      <c r="A24" s="14" t="str">
        <f>IFERROR(__xludf.DUMMYFUNCTION("""COMPUTED_VALUE"""),"Muhammad Baiquni")</f>
        <v>Muhammad Baiquni</v>
      </c>
      <c r="B24" s="14" t="str">
        <f>IFERROR(__xludf.DUMMYFUNCTION("""COMPUTED_VALUE"""),"2021-AT-C019")</f>
        <v>2021-AT-C019</v>
      </c>
      <c r="C24" s="17">
        <f>IFERROR(__xludf.DUMMYFUNCTION("""COMPUTED_VALUE"""),44441.0)</f>
        <v>44441</v>
      </c>
      <c r="D24" s="14" t="str">
        <f>IFERROR(__xludf.DUMMYFUNCTION("""COMPUTED_VALUE"""),"D")</f>
        <v>D</v>
      </c>
      <c r="E24" s="14" t="str">
        <f>IFERROR(__xludf.DUMMYFUNCTION("""COMPUTED_VALUE"""),"Indonesia")</f>
        <v>Indonesia</v>
      </c>
      <c r="F24" s="16" t="str">
        <f>IFERROR(__xludf.DUMMYFUNCTION("""COMPUTED_VALUE"""),"Min of Tourism of Republic of Indonesia")</f>
        <v>Min of Tourism of Republic of Indonesia</v>
      </c>
    </row>
    <row r="25">
      <c r="A25" s="14" t="str">
        <f>IFERROR(__xludf.DUMMYFUNCTION("""COMPUTED_VALUE"""),"Prihutami Rista Hermawati")</f>
        <v>Prihutami Rista Hermawati</v>
      </c>
      <c r="B25" s="14" t="str">
        <f>IFERROR(__xludf.DUMMYFUNCTION("""COMPUTED_VALUE"""),"2021-AT-C020")</f>
        <v>2021-AT-C020</v>
      </c>
      <c r="C25" s="17">
        <f>IFERROR(__xludf.DUMMYFUNCTION("""COMPUTED_VALUE"""),44441.0)</f>
        <v>44441</v>
      </c>
      <c r="D25" s="14" t="str">
        <f>IFERROR(__xludf.DUMMYFUNCTION("""COMPUTED_VALUE"""),"D")</f>
        <v>D</v>
      </c>
      <c r="E25" s="14" t="str">
        <f>IFERROR(__xludf.DUMMYFUNCTION("""COMPUTED_VALUE"""),"Indonesia")</f>
        <v>Indonesia</v>
      </c>
      <c r="F25" s="16" t="str">
        <f>IFERROR(__xludf.DUMMYFUNCTION("""COMPUTED_VALUE"""),"Indonesian Ministry")</f>
        <v>Indonesian Ministry</v>
      </c>
    </row>
    <row r="26">
      <c r="A26" s="14" t="str">
        <f>IFERROR(__xludf.DUMMYFUNCTION("""COMPUTED_VALUE"""),"Hendrie Adji Kusworo")</f>
        <v>Hendrie Adji Kusworo</v>
      </c>
      <c r="B26" s="14" t="str">
        <f>IFERROR(__xludf.DUMMYFUNCTION("""COMPUTED_VALUE"""),"2021-AT-C021")</f>
        <v>2021-AT-C021</v>
      </c>
      <c r="C26" s="17">
        <f>IFERROR(__xludf.DUMMYFUNCTION("""COMPUTED_VALUE"""),44441.0)</f>
        <v>44441</v>
      </c>
      <c r="D26" s="14" t="str">
        <f>IFERROR(__xludf.DUMMYFUNCTION("""COMPUTED_VALUE"""),"D")</f>
        <v>D</v>
      </c>
      <c r="E26" s="14" t="str">
        <f>IFERROR(__xludf.DUMMYFUNCTION("""COMPUTED_VALUE"""),"Indonesia")</f>
        <v>Indonesia</v>
      </c>
      <c r="F26" s="16" t="str">
        <f>IFERROR(__xludf.DUMMYFUNCTION("""COMPUTED_VALUE"""),"Min of Tourism of Republic of Indonesia")</f>
        <v>Min of Tourism of Republic of Indonesia</v>
      </c>
    </row>
    <row r="27">
      <c r="A27" s="14" t="str">
        <f>IFERROR(__xludf.DUMMYFUNCTION("""COMPUTED_VALUE"""),"Afifah Wulandari")</f>
        <v>Afifah Wulandari</v>
      </c>
      <c r="B27" s="14" t="str">
        <f>IFERROR(__xludf.DUMMYFUNCTION("""COMPUTED_VALUE"""),"2021-AT-C022")</f>
        <v>2021-AT-C022</v>
      </c>
      <c r="C27" s="17">
        <f>IFERROR(__xludf.DUMMYFUNCTION("""COMPUTED_VALUE"""),44441.0)</f>
        <v>44441</v>
      </c>
      <c r="D27" s="14" t="str">
        <f>IFERROR(__xludf.DUMMYFUNCTION("""COMPUTED_VALUE"""),"D")</f>
        <v>D</v>
      </c>
      <c r="E27" s="14" t="str">
        <f>IFERROR(__xludf.DUMMYFUNCTION("""COMPUTED_VALUE"""),"Indonesia")</f>
        <v>Indonesia</v>
      </c>
      <c r="F27" s="16" t="str">
        <f>IFERROR(__xludf.DUMMYFUNCTION("""COMPUTED_VALUE"""),"Indonesian Ministry")</f>
        <v>Indonesian Ministry</v>
      </c>
    </row>
    <row r="28">
      <c r="A28" s="14" t="str">
        <f>IFERROR(__xludf.DUMMYFUNCTION("""COMPUTED_VALUE"""),"Danesta Febianto Nugroho")</f>
        <v>Danesta Febianto Nugroho</v>
      </c>
      <c r="B28" s="14" t="str">
        <f>IFERROR(__xludf.DUMMYFUNCTION("""COMPUTED_VALUE"""),"2021-AT-C023")</f>
        <v>2021-AT-C023</v>
      </c>
      <c r="C28" s="17">
        <f>IFERROR(__xludf.DUMMYFUNCTION("""COMPUTED_VALUE"""),44441.0)</f>
        <v>44441</v>
      </c>
      <c r="D28" s="14" t="str">
        <f>IFERROR(__xludf.DUMMYFUNCTION("""COMPUTED_VALUE"""),"D")</f>
        <v>D</v>
      </c>
      <c r="E28" s="14" t="str">
        <f>IFERROR(__xludf.DUMMYFUNCTION("""COMPUTED_VALUE"""),"Indonesia")</f>
        <v>Indonesia</v>
      </c>
      <c r="F28" s="16" t="str">
        <f>IFERROR(__xludf.DUMMYFUNCTION("""COMPUTED_VALUE"""),"Indonesian Ministry")</f>
        <v>Indonesian Ministry</v>
      </c>
    </row>
    <row r="29">
      <c r="A29" s="14" t="str">
        <f>IFERROR(__xludf.DUMMYFUNCTION("""COMPUTED_VALUE"""),"Hennis Cheung")</f>
        <v>Hennis Cheung</v>
      </c>
      <c r="B29" s="14" t="str">
        <f>IFERROR(__xludf.DUMMYFUNCTION("""COMPUTED_VALUE"""),"2021-AT-C024-H")</f>
        <v>2021-AT-C024-H</v>
      </c>
      <c r="C29" s="17">
        <f>IFERROR(__xludf.DUMMYFUNCTION("""COMPUTED_VALUE"""),44459.0)</f>
        <v>44459</v>
      </c>
      <c r="D29" s="14" t="str">
        <f>IFERROR(__xludf.DUMMYFUNCTION("""COMPUTED_VALUE"""),"H")</f>
        <v>H</v>
      </c>
      <c r="E29" s="14" t="str">
        <f>IFERROR(__xludf.DUMMYFUNCTION("""COMPUTED_VALUE"""),"China")</f>
        <v>China</v>
      </c>
      <c r="F29" s="16" t="str">
        <f>IFERROR(__xludf.DUMMYFUNCTION("""COMPUTED_VALUE"""),"Bureau Veritas")</f>
        <v>Bureau Veritas</v>
      </c>
    </row>
    <row r="30">
      <c r="A30" s="14" t="str">
        <f>IFERROR(__xludf.DUMMYFUNCTION("""COMPUTED_VALUE"""),"Amanda Puia Pietrobon")</f>
        <v>Amanda Puia Pietrobon</v>
      </c>
      <c r="B30" s="14" t="str">
        <f>IFERROR(__xludf.DUMMYFUNCTION("""COMPUTED_VALUE"""),"2022-AT-C001")</f>
        <v>2022-AT-C001</v>
      </c>
      <c r="C30" s="17">
        <f>IFERROR(__xludf.DUMMYFUNCTION("""COMPUTED_VALUE"""),44566.0)</f>
        <v>44566</v>
      </c>
      <c r="D30" s="14" t="str">
        <f>IFERROR(__xludf.DUMMYFUNCTION("""COMPUTED_VALUE"""),"HTO")</f>
        <v>HTO</v>
      </c>
      <c r="E30" s="14" t="str">
        <f>IFERROR(__xludf.DUMMYFUNCTION("""COMPUTED_VALUE"""),"Brazil")</f>
        <v>Brazil</v>
      </c>
      <c r="F30" s="16" t="str">
        <f>IFERROR(__xludf.DUMMYFUNCTION("""COMPUTED_VALUE"""),"Control Union")</f>
        <v>Control Union</v>
      </c>
    </row>
    <row r="31">
      <c r="A31" s="14" t="str">
        <f>IFERROR(__xludf.DUMMYFUNCTION("""COMPUTED_VALUE"""),"Juliana Freitas")</f>
        <v>Juliana Freitas</v>
      </c>
      <c r="B31" s="14" t="str">
        <f>IFERROR(__xludf.DUMMYFUNCTION("""COMPUTED_VALUE"""),"2022-AT-C002 - H")</f>
        <v>2022-AT-C002 - H</v>
      </c>
      <c r="C31" s="17">
        <f>IFERROR(__xludf.DUMMYFUNCTION("""COMPUTED_VALUE"""),44566.0)</f>
        <v>44566</v>
      </c>
      <c r="D31" s="14" t="str">
        <f>IFERROR(__xludf.DUMMYFUNCTION("""COMPUTED_VALUE"""),"H")</f>
        <v>H</v>
      </c>
      <c r="E31" s="14" t="str">
        <f>IFERROR(__xludf.DUMMYFUNCTION("""COMPUTED_VALUE"""),"Portugal")</f>
        <v>Portugal</v>
      </c>
      <c r="F31" s="16" t="str">
        <f>IFERROR(__xludf.DUMMYFUNCTION("""COMPUTED_VALUE"""),"Control Union")</f>
        <v>Control Union</v>
      </c>
    </row>
    <row r="32">
      <c r="A32" s="14" t="str">
        <f>IFERROR(__xludf.DUMMYFUNCTION("""COMPUTED_VALUE"""),"Juliana Freitas")</f>
        <v>Juliana Freitas</v>
      </c>
      <c r="B32" s="14" t="str">
        <f>IFERROR(__xludf.DUMMYFUNCTION("""COMPUTED_VALUE"""),"2022-AT-C002 - TO")</f>
        <v>2022-AT-C002 - TO</v>
      </c>
      <c r="C32" s="17">
        <f>IFERROR(__xludf.DUMMYFUNCTION("""COMPUTED_VALUE"""),44648.0)</f>
        <v>44648</v>
      </c>
      <c r="D32" s="14" t="str">
        <f>IFERROR(__xludf.DUMMYFUNCTION("""COMPUTED_VALUE"""),"TO")</f>
        <v>TO</v>
      </c>
      <c r="E32" s="14" t="str">
        <f>IFERROR(__xludf.DUMMYFUNCTION("""COMPUTED_VALUE"""),"Portugal")</f>
        <v>Portugal</v>
      </c>
      <c r="F32" s="16" t="str">
        <f>IFERROR(__xludf.DUMMYFUNCTION("""COMPUTED_VALUE"""),"Control Union")</f>
        <v>Control Union</v>
      </c>
    </row>
    <row r="33">
      <c r="A33" s="14" t="str">
        <f>IFERROR(__xludf.DUMMYFUNCTION("""COMPUTED_VALUE"""),"Seda Ture")</f>
        <v>Seda Ture</v>
      </c>
      <c r="B33" s="14" t="str">
        <f>IFERROR(__xludf.DUMMYFUNCTION("""COMPUTED_VALUE"""),"2022-AT-C003")</f>
        <v>2022-AT-C003</v>
      </c>
      <c r="C33" s="17">
        <f>IFERROR(__xludf.DUMMYFUNCTION("""COMPUTED_VALUE"""),44566.0)</f>
        <v>44566</v>
      </c>
      <c r="D33" s="14" t="str">
        <f>IFERROR(__xludf.DUMMYFUNCTION("""COMPUTED_VALUE"""),"HTO")</f>
        <v>HTO</v>
      </c>
      <c r="E33" s="14" t="str">
        <f>IFERROR(__xludf.DUMMYFUNCTION("""COMPUTED_VALUE"""),"Turkiye")</f>
        <v>Turkiye</v>
      </c>
      <c r="F33" s="16" t="str">
        <f>IFERROR(__xludf.DUMMYFUNCTION("""COMPUTED_VALUE"""),"Control Union")</f>
        <v>Control Union</v>
      </c>
    </row>
    <row r="34">
      <c r="A34" s="14" t="str">
        <f>IFERROR(__xludf.DUMMYFUNCTION("""COMPUTED_VALUE"""),"Paulo Sarabanda")</f>
        <v>Paulo Sarabanda</v>
      </c>
      <c r="B34" s="14" t="str">
        <f>IFERROR(__xludf.DUMMYFUNCTION("""COMPUTED_VALUE"""),"2022-AT-C004-H")</f>
        <v>2022-AT-C004-H</v>
      </c>
      <c r="C34" s="17">
        <f>IFERROR(__xludf.DUMMYFUNCTION("""COMPUTED_VALUE"""),44566.0)</f>
        <v>44566</v>
      </c>
      <c r="D34" s="14" t="str">
        <f>IFERROR(__xludf.DUMMYFUNCTION("""COMPUTED_VALUE"""),"H")</f>
        <v>H</v>
      </c>
      <c r="E34" s="14" t="str">
        <f>IFERROR(__xludf.DUMMYFUNCTION("""COMPUTED_VALUE"""),"Portugal")</f>
        <v>Portugal</v>
      </c>
      <c r="F34" s="16" t="str">
        <f>IFERROR(__xludf.DUMMYFUNCTION("""COMPUTED_VALUE"""),"Control Union")</f>
        <v>Control Union</v>
      </c>
    </row>
    <row r="35">
      <c r="A35" s="14" t="str">
        <f>IFERROR(__xludf.DUMMYFUNCTION("""COMPUTED_VALUE"""),"Paulo Sarabanda")</f>
        <v>Paulo Sarabanda</v>
      </c>
      <c r="B35" s="14" t="str">
        <f>IFERROR(__xludf.DUMMYFUNCTION("""COMPUTED_VALUE"""),"2022-AT-C004-TO")</f>
        <v>2022-AT-C004-TO</v>
      </c>
      <c r="C35" s="17">
        <f>IFERROR(__xludf.DUMMYFUNCTION("""COMPUTED_VALUE"""),44648.0)</f>
        <v>44648</v>
      </c>
      <c r="D35" s="14" t="str">
        <f>IFERROR(__xludf.DUMMYFUNCTION("""COMPUTED_VALUE"""),"TO")</f>
        <v>TO</v>
      </c>
      <c r="E35" s="14" t="str">
        <f>IFERROR(__xludf.DUMMYFUNCTION("""COMPUTED_VALUE"""),"Portugal")</f>
        <v>Portugal</v>
      </c>
      <c r="F35" s="16" t="str">
        <f>IFERROR(__xludf.DUMMYFUNCTION("""COMPUTED_VALUE"""),"Control Union")</f>
        <v>Control Union</v>
      </c>
    </row>
    <row r="36">
      <c r="A36" s="14" t="str">
        <f>IFERROR(__xludf.DUMMYFUNCTION("""COMPUTED_VALUE"""),"Tugce Tapan")</f>
        <v>Tugce Tapan</v>
      </c>
      <c r="B36" s="14" t="str">
        <f>IFERROR(__xludf.DUMMYFUNCTION("""COMPUTED_VALUE"""),"2022-AT-C005")</f>
        <v>2022-AT-C005</v>
      </c>
      <c r="C36" s="17">
        <f>IFERROR(__xludf.DUMMYFUNCTION("""COMPUTED_VALUE"""),44566.0)</f>
        <v>44566</v>
      </c>
      <c r="D36" s="14" t="str">
        <f>IFERROR(__xludf.DUMMYFUNCTION("""COMPUTED_VALUE"""),"HTO")</f>
        <v>HTO</v>
      </c>
      <c r="E36" s="14" t="str">
        <f>IFERROR(__xludf.DUMMYFUNCTION("""COMPUTED_VALUE"""),"Turkiye")</f>
        <v>Turkiye</v>
      </c>
      <c r="F36" s="16" t="str">
        <f>IFERROR(__xludf.DUMMYFUNCTION("""COMPUTED_VALUE"""),"Control Union")</f>
        <v>Control Union</v>
      </c>
    </row>
    <row r="37">
      <c r="A37" s="14" t="str">
        <f>IFERROR(__xludf.DUMMYFUNCTION("""COMPUTED_VALUE"""),"Ditta Fekete")</f>
        <v>Ditta Fekete</v>
      </c>
      <c r="B37" s="14" t="str">
        <f>IFERROR(__xludf.DUMMYFUNCTION("""COMPUTED_VALUE"""),"2022-AT-C006-TO")</f>
        <v>2022-AT-C006-TO</v>
      </c>
      <c r="C37" s="17">
        <f>IFERROR(__xludf.DUMMYFUNCTION("""COMPUTED_VALUE"""),44566.0)</f>
        <v>44566</v>
      </c>
      <c r="D37" s="14" t="str">
        <f>IFERROR(__xludf.DUMMYFUNCTION("""COMPUTED_VALUE"""),"TO")</f>
        <v>TO</v>
      </c>
      <c r="E37" s="14" t="str">
        <f>IFERROR(__xludf.DUMMYFUNCTION("""COMPUTED_VALUE"""),"Hungary")</f>
        <v>Hungary</v>
      </c>
      <c r="F37" s="16" t="str">
        <f>IFERROR(__xludf.DUMMYFUNCTION("""COMPUTED_VALUE"""),"Control Union")</f>
        <v>Control Union</v>
      </c>
    </row>
    <row r="38">
      <c r="A38" s="14" t="str">
        <f>IFERROR(__xludf.DUMMYFUNCTION("""COMPUTED_VALUE"""),"Onur Aksoy")</f>
        <v>Onur Aksoy</v>
      </c>
      <c r="B38" s="14" t="str">
        <f>IFERROR(__xludf.DUMMYFUNCTION("""COMPUTED_VALUE"""),"2022-AT-C007")</f>
        <v>2022-AT-C007</v>
      </c>
      <c r="C38" s="17">
        <f>IFERROR(__xludf.DUMMYFUNCTION("""COMPUTED_VALUE"""),44566.0)</f>
        <v>44566</v>
      </c>
      <c r="D38" s="14" t="str">
        <f>IFERROR(__xludf.DUMMYFUNCTION("""COMPUTED_VALUE"""),"HTO")</f>
        <v>HTO</v>
      </c>
      <c r="E38" s="14" t="str">
        <f>IFERROR(__xludf.DUMMYFUNCTION("""COMPUTED_VALUE"""),"Turkiye")</f>
        <v>Turkiye</v>
      </c>
      <c r="F38" s="16" t="str">
        <f>IFERROR(__xludf.DUMMYFUNCTION("""COMPUTED_VALUE"""),"Control Union")</f>
        <v>Control Union</v>
      </c>
    </row>
    <row r="39">
      <c r="A39" s="14" t="str">
        <f>IFERROR(__xludf.DUMMYFUNCTION("""COMPUTED_VALUE"""),"Regina Gonda")</f>
        <v>Regina Gonda</v>
      </c>
      <c r="B39" s="14" t="str">
        <f>IFERROR(__xludf.DUMMYFUNCTION("""COMPUTED_VALUE"""),"2022-AT-C008")</f>
        <v>2022-AT-C008</v>
      </c>
      <c r="C39" s="17">
        <f>IFERROR(__xludf.DUMMYFUNCTION("""COMPUTED_VALUE"""),44566.0)</f>
        <v>44566</v>
      </c>
      <c r="D39" s="14" t="str">
        <f>IFERROR(__xludf.DUMMYFUNCTION("""COMPUTED_VALUE"""),"HTO")</f>
        <v>HTO</v>
      </c>
      <c r="E39" s="14" t="str">
        <f>IFERROR(__xludf.DUMMYFUNCTION("""COMPUTED_VALUE"""),"Hungary")</f>
        <v>Hungary</v>
      </c>
      <c r="F39" s="16" t="str">
        <f>IFERROR(__xludf.DUMMYFUNCTION("""COMPUTED_VALUE"""),"Control Union")</f>
        <v>Control Union</v>
      </c>
    </row>
    <row r="40">
      <c r="A40" s="14" t="str">
        <f>IFERROR(__xludf.DUMMYFUNCTION("""COMPUTED_VALUE"""),"Pinar Özbaltan")</f>
        <v>Pinar Özbaltan</v>
      </c>
      <c r="B40" s="14" t="str">
        <f>IFERROR(__xludf.DUMMYFUNCTION("""COMPUTED_VALUE"""),"2022-AT-C009-H")</f>
        <v>2022-AT-C009-H</v>
      </c>
      <c r="C40" s="17">
        <f>IFERROR(__xludf.DUMMYFUNCTION("""COMPUTED_VALUE"""),44596.0)</f>
        <v>44596</v>
      </c>
      <c r="D40" s="14" t="str">
        <f>IFERROR(__xludf.DUMMYFUNCTION("""COMPUTED_VALUE"""),"H")</f>
        <v>H</v>
      </c>
      <c r="E40" s="14" t="str">
        <f>IFERROR(__xludf.DUMMYFUNCTION("""COMPUTED_VALUE"""),"Turkiye")</f>
        <v>Turkiye</v>
      </c>
      <c r="F40" s="16" t="str">
        <f>IFERROR(__xludf.DUMMYFUNCTION("""COMPUTED_VALUE"""),"Control Union")</f>
        <v>Control Union</v>
      </c>
    </row>
    <row r="41">
      <c r="A41" s="14" t="str">
        <f>IFERROR(__xludf.DUMMYFUNCTION("""COMPUTED_VALUE"""),"Mustafa Yilmaz")</f>
        <v>Mustafa Yilmaz</v>
      </c>
      <c r="B41" s="14" t="str">
        <f>IFERROR(__xludf.DUMMYFUNCTION("""COMPUTED_VALUE"""),"2022-AT-C010")</f>
        <v>2022-AT-C010</v>
      </c>
      <c r="C41" s="17">
        <f>IFERROR(__xludf.DUMMYFUNCTION("""COMPUTED_VALUE"""),44725.0)</f>
        <v>44725</v>
      </c>
      <c r="D41" s="14" t="str">
        <f>IFERROR(__xludf.DUMMYFUNCTION("""COMPUTED_VALUE"""),"H")</f>
        <v>H</v>
      </c>
      <c r="E41" s="14" t="str">
        <f>IFERROR(__xludf.DUMMYFUNCTION("""COMPUTED_VALUE"""),"Turkiye")</f>
        <v>Turkiye</v>
      </c>
      <c r="F41" s="16" t="str">
        <f>IFERROR(__xludf.DUMMYFUNCTION("""COMPUTED_VALUE"""),"ISOQAR Türkiye")</f>
        <v>ISOQAR Türkiye</v>
      </c>
    </row>
    <row r="42">
      <c r="A42" s="14" t="str">
        <f>IFERROR(__xludf.DUMMYFUNCTION("""COMPUTED_VALUE"""),"Fatma Demet Yilmaz")</f>
        <v>Fatma Demet Yilmaz</v>
      </c>
      <c r="B42" s="14" t="str">
        <f>IFERROR(__xludf.DUMMYFUNCTION("""COMPUTED_VALUE"""),"2022-AT-C011")</f>
        <v>2022-AT-C011</v>
      </c>
      <c r="C42" s="17">
        <f>IFERROR(__xludf.DUMMYFUNCTION("""COMPUTED_VALUE"""),44725.0)</f>
        <v>44725</v>
      </c>
      <c r="D42" s="14" t="str">
        <f>IFERROR(__xludf.DUMMYFUNCTION("""COMPUTED_VALUE"""),"H")</f>
        <v>H</v>
      </c>
      <c r="E42" s="14" t="str">
        <f>IFERROR(__xludf.DUMMYFUNCTION("""COMPUTED_VALUE"""),"Turkiye")</f>
        <v>Turkiye</v>
      </c>
      <c r="F42" s="16" t="str">
        <f>IFERROR(__xludf.DUMMYFUNCTION("""COMPUTED_VALUE"""),"ISOQAR Türkiye")</f>
        <v>ISOQAR Türkiye</v>
      </c>
    </row>
    <row r="43">
      <c r="A43" s="14" t="str">
        <f>IFERROR(__xludf.DUMMYFUNCTION("""COMPUTED_VALUE"""),"A.İrfan Fenercioğlu")</f>
        <v>A.İrfan Fenercioğlu</v>
      </c>
      <c r="B43" s="14" t="str">
        <f>IFERROR(__xludf.DUMMYFUNCTION("""COMPUTED_VALUE"""),"2022-AT-C012")</f>
        <v>2022-AT-C012</v>
      </c>
      <c r="C43" s="17">
        <f>IFERROR(__xludf.DUMMYFUNCTION("""COMPUTED_VALUE"""),44725.0)</f>
        <v>44725</v>
      </c>
      <c r="D43" s="14" t="str">
        <f>IFERROR(__xludf.DUMMYFUNCTION("""COMPUTED_VALUE"""),"H")</f>
        <v>H</v>
      </c>
      <c r="E43" s="14" t="str">
        <f>IFERROR(__xludf.DUMMYFUNCTION("""COMPUTED_VALUE"""),"Turkiye")</f>
        <v>Turkiye</v>
      </c>
      <c r="F43" s="16" t="str">
        <f>IFERROR(__xludf.DUMMYFUNCTION("""COMPUTED_VALUE"""),"ISOQAR Türkiye")</f>
        <v>ISOQAR Türkiye</v>
      </c>
    </row>
    <row r="44">
      <c r="A44" s="14" t="str">
        <f>IFERROR(__xludf.DUMMYFUNCTION("""COMPUTED_VALUE"""),"Musa Yıldırım")</f>
        <v>Musa Yıldırım</v>
      </c>
      <c r="B44" s="14" t="str">
        <f>IFERROR(__xludf.DUMMYFUNCTION("""COMPUTED_VALUE"""),"2022-AT-C013")</f>
        <v>2022-AT-C013</v>
      </c>
      <c r="C44" s="17">
        <f>IFERROR(__xludf.DUMMYFUNCTION("""COMPUTED_VALUE"""),44725.0)</f>
        <v>44725</v>
      </c>
      <c r="D44" s="14" t="str">
        <f>IFERROR(__xludf.DUMMYFUNCTION("""COMPUTED_VALUE"""),"H")</f>
        <v>H</v>
      </c>
      <c r="E44" s="14" t="str">
        <f>IFERROR(__xludf.DUMMYFUNCTION("""COMPUTED_VALUE"""),"Turkiye")</f>
        <v>Turkiye</v>
      </c>
      <c r="F44" s="16" t="str">
        <f>IFERROR(__xludf.DUMMYFUNCTION("""COMPUTED_VALUE"""),"ISOQAR Türkiye")</f>
        <v>ISOQAR Türkiye</v>
      </c>
    </row>
    <row r="45">
      <c r="A45" s="14" t="str">
        <f>IFERROR(__xludf.DUMMYFUNCTION("""COMPUTED_VALUE"""),"Sonay Cantürk")</f>
        <v>Sonay Cantürk</v>
      </c>
      <c r="B45" s="14" t="str">
        <f>IFERROR(__xludf.DUMMYFUNCTION("""COMPUTED_VALUE"""),"2022-AT-C014")</f>
        <v>2022-AT-C014</v>
      </c>
      <c r="C45" s="17">
        <f>IFERROR(__xludf.DUMMYFUNCTION("""COMPUTED_VALUE"""),44725.0)</f>
        <v>44725</v>
      </c>
      <c r="D45" s="14" t="str">
        <f>IFERROR(__xludf.DUMMYFUNCTION("""COMPUTED_VALUE"""),"H")</f>
        <v>H</v>
      </c>
      <c r="E45" s="14" t="str">
        <f>IFERROR(__xludf.DUMMYFUNCTION("""COMPUTED_VALUE"""),"Turkiye")</f>
        <v>Turkiye</v>
      </c>
      <c r="F45" s="16" t="str">
        <f>IFERROR(__xludf.DUMMYFUNCTION("""COMPUTED_VALUE"""),"ISOQAR Türkiye")</f>
        <v>ISOQAR Türkiye</v>
      </c>
    </row>
    <row r="46">
      <c r="A46" s="14" t="str">
        <f>IFERROR(__xludf.DUMMYFUNCTION("""COMPUTED_VALUE"""),"Görkem Vural")</f>
        <v>Görkem Vural</v>
      </c>
      <c r="B46" s="14" t="str">
        <f>IFERROR(__xludf.DUMMYFUNCTION("""COMPUTED_VALUE"""),"2022-AT-C015")</f>
        <v>2022-AT-C015</v>
      </c>
      <c r="C46" s="17">
        <f>IFERROR(__xludf.DUMMYFUNCTION("""COMPUTED_VALUE"""),44725.0)</f>
        <v>44725</v>
      </c>
      <c r="D46" s="14" t="str">
        <f>IFERROR(__xludf.DUMMYFUNCTION("""COMPUTED_VALUE"""),"H")</f>
        <v>H</v>
      </c>
      <c r="E46" s="14" t="str">
        <f>IFERROR(__xludf.DUMMYFUNCTION("""COMPUTED_VALUE"""),"Turkiye")</f>
        <v>Turkiye</v>
      </c>
      <c r="F46" s="16" t="str">
        <f>IFERROR(__xludf.DUMMYFUNCTION("""COMPUTED_VALUE"""),"ISOQAR Türkiye")</f>
        <v>ISOQAR Türkiye</v>
      </c>
    </row>
    <row r="47">
      <c r="A47" s="14" t="str">
        <f>IFERROR(__xludf.DUMMYFUNCTION("""COMPUTED_VALUE"""),"Fatih Taş")</f>
        <v>Fatih Taş</v>
      </c>
      <c r="B47" s="14" t="str">
        <f>IFERROR(__xludf.DUMMYFUNCTION("""COMPUTED_VALUE"""),"2022-AT-C016")</f>
        <v>2022-AT-C016</v>
      </c>
      <c r="C47" s="17">
        <f>IFERROR(__xludf.DUMMYFUNCTION("""COMPUTED_VALUE"""),44725.0)</f>
        <v>44725</v>
      </c>
      <c r="D47" s="14" t="str">
        <f>IFERROR(__xludf.DUMMYFUNCTION("""COMPUTED_VALUE"""),"H")</f>
        <v>H</v>
      </c>
      <c r="E47" s="14" t="str">
        <f>IFERROR(__xludf.DUMMYFUNCTION("""COMPUTED_VALUE"""),"Turkiye")</f>
        <v>Turkiye</v>
      </c>
      <c r="F47" s="16" t="str">
        <f>IFERROR(__xludf.DUMMYFUNCTION("""COMPUTED_VALUE"""),"ISOQAR Türkiye")</f>
        <v>ISOQAR Türkiye</v>
      </c>
    </row>
    <row r="48">
      <c r="A48" s="14" t="str">
        <f>IFERROR(__xludf.DUMMYFUNCTION("""COMPUTED_VALUE"""),"Savaş Gökhan Namal")</f>
        <v>Savaş Gökhan Namal</v>
      </c>
      <c r="B48" s="14" t="str">
        <f>IFERROR(__xludf.DUMMYFUNCTION("""COMPUTED_VALUE"""),"2022-AT-C017")</f>
        <v>2022-AT-C017</v>
      </c>
      <c r="C48" s="17">
        <f>IFERROR(__xludf.DUMMYFUNCTION("""COMPUTED_VALUE"""),44725.0)</f>
        <v>44725</v>
      </c>
      <c r="D48" s="14" t="str">
        <f>IFERROR(__xludf.DUMMYFUNCTION("""COMPUTED_VALUE"""),"H")</f>
        <v>H</v>
      </c>
      <c r="E48" s="14" t="str">
        <f>IFERROR(__xludf.DUMMYFUNCTION("""COMPUTED_VALUE"""),"Turkiye")</f>
        <v>Turkiye</v>
      </c>
      <c r="F48" s="16" t="str">
        <f>IFERROR(__xludf.DUMMYFUNCTION("""COMPUTED_VALUE"""),"TRB International certification Ltd.")</f>
        <v>TRB International certification Ltd.</v>
      </c>
    </row>
    <row r="49">
      <c r="A49" s="14" t="str">
        <f>IFERROR(__xludf.DUMMYFUNCTION("""COMPUTED_VALUE"""),"Canan Yılmaz")</f>
        <v>Canan Yılmaz</v>
      </c>
      <c r="B49" s="14" t="str">
        <f>IFERROR(__xludf.DUMMYFUNCTION("""COMPUTED_VALUE"""),"2022-AT-C018")</f>
        <v>2022-AT-C018</v>
      </c>
      <c r="C49" s="17">
        <f>IFERROR(__xludf.DUMMYFUNCTION("""COMPUTED_VALUE"""),44725.0)</f>
        <v>44725</v>
      </c>
      <c r="D49" s="14" t="str">
        <f>IFERROR(__xludf.DUMMYFUNCTION("""COMPUTED_VALUE"""),"H")</f>
        <v>H</v>
      </c>
      <c r="E49" s="14" t="str">
        <f>IFERROR(__xludf.DUMMYFUNCTION("""COMPUTED_VALUE"""),"Turkiye")</f>
        <v>Turkiye</v>
      </c>
      <c r="F49" s="16" t="str">
        <f>IFERROR(__xludf.DUMMYFUNCTION("""COMPUTED_VALUE"""),"TRB International certification Ltd.")</f>
        <v>TRB International certification Ltd.</v>
      </c>
    </row>
    <row r="50">
      <c r="A50" s="14" t="str">
        <f>IFERROR(__xludf.DUMMYFUNCTION("""COMPUTED_VALUE"""),"Hüseyin Seçkin Uzunkaya")</f>
        <v>Hüseyin Seçkin Uzunkaya</v>
      </c>
      <c r="B50" s="14" t="str">
        <f>IFERROR(__xludf.DUMMYFUNCTION("""COMPUTED_VALUE"""),"2022-AT-C019")</f>
        <v>2022-AT-C019</v>
      </c>
      <c r="C50" s="17">
        <f>IFERROR(__xludf.DUMMYFUNCTION("""COMPUTED_VALUE"""),44725.0)</f>
        <v>44725</v>
      </c>
      <c r="D50" s="14" t="str">
        <f>IFERROR(__xludf.DUMMYFUNCTION("""COMPUTED_VALUE"""),"H")</f>
        <v>H</v>
      </c>
      <c r="E50" s="14" t="str">
        <f>IFERROR(__xludf.DUMMYFUNCTION("""COMPUTED_VALUE"""),"Turkiye")</f>
        <v>Turkiye</v>
      </c>
      <c r="F50" s="16" t="str">
        <f>IFERROR(__xludf.DUMMYFUNCTION("""COMPUTED_VALUE"""),"TRB International certification Ltd.")</f>
        <v>TRB International certification Ltd.</v>
      </c>
    </row>
    <row r="51">
      <c r="A51" s="14" t="str">
        <f>IFERROR(__xludf.DUMMYFUNCTION("""COMPUTED_VALUE"""),"Haşan Daş")</f>
        <v>Haşan Daş</v>
      </c>
      <c r="B51" s="14" t="str">
        <f>IFERROR(__xludf.DUMMYFUNCTION("""COMPUTED_VALUE"""),"2022-AT-C020")</f>
        <v>2022-AT-C020</v>
      </c>
      <c r="C51" s="17">
        <f>IFERROR(__xludf.DUMMYFUNCTION("""COMPUTED_VALUE"""),44725.0)</f>
        <v>44725</v>
      </c>
      <c r="D51" s="14" t="str">
        <f>IFERROR(__xludf.DUMMYFUNCTION("""COMPUTED_VALUE"""),"H")</f>
        <v>H</v>
      </c>
      <c r="E51" s="14" t="str">
        <f>IFERROR(__xludf.DUMMYFUNCTION("""COMPUTED_VALUE"""),"Turkiye")</f>
        <v>Turkiye</v>
      </c>
      <c r="F51" s="16" t="str">
        <f>IFERROR(__xludf.DUMMYFUNCTION("""COMPUTED_VALUE"""),"FQC Certification")</f>
        <v>FQC Certification</v>
      </c>
    </row>
    <row r="52">
      <c r="A52" s="14" t="str">
        <f>IFERROR(__xludf.DUMMYFUNCTION("""COMPUTED_VALUE"""),"Mehmet Can Doğaroğlu")</f>
        <v>Mehmet Can Doğaroğlu</v>
      </c>
      <c r="B52" s="14" t="str">
        <f>IFERROR(__xludf.DUMMYFUNCTION("""COMPUTED_VALUE"""),"2022-AT-C021")</f>
        <v>2022-AT-C021</v>
      </c>
      <c r="C52" s="17">
        <f>IFERROR(__xludf.DUMMYFUNCTION("""COMPUTED_VALUE"""),44736.0)</f>
        <v>44736</v>
      </c>
      <c r="D52" s="14" t="str">
        <f>IFERROR(__xludf.DUMMYFUNCTION("""COMPUTED_VALUE"""),"H")</f>
        <v>H</v>
      </c>
      <c r="E52" s="14" t="str">
        <f>IFERROR(__xludf.DUMMYFUNCTION("""COMPUTED_VALUE"""),"Turkiye")</f>
        <v>Turkiye</v>
      </c>
      <c r="F52" s="16" t="str">
        <f>IFERROR(__xludf.DUMMYFUNCTION("""COMPUTED_VALUE"""),"ISOQAR Türkiye")</f>
        <v>ISOQAR Türkiye</v>
      </c>
    </row>
    <row r="53">
      <c r="A53" s="14" t="str">
        <f>IFERROR(__xludf.DUMMYFUNCTION("""COMPUTED_VALUE"""),"Ali Ağaoğlu")</f>
        <v>Ali Ağaoğlu</v>
      </c>
      <c r="B53" s="14" t="str">
        <f>IFERROR(__xludf.DUMMYFUNCTION("""COMPUTED_VALUE"""),"2022-AT-C022")</f>
        <v>2022-AT-C022</v>
      </c>
      <c r="C53" s="17">
        <f>IFERROR(__xludf.DUMMYFUNCTION("""COMPUTED_VALUE"""),44736.0)</f>
        <v>44736</v>
      </c>
      <c r="D53" s="14" t="str">
        <f>IFERROR(__xludf.DUMMYFUNCTION("""COMPUTED_VALUE"""),"H")</f>
        <v>H</v>
      </c>
      <c r="E53" s="14" t="str">
        <f>IFERROR(__xludf.DUMMYFUNCTION("""COMPUTED_VALUE"""),"Turkiye")</f>
        <v>Turkiye</v>
      </c>
      <c r="F53" s="16" t="str">
        <f>IFERROR(__xludf.DUMMYFUNCTION("""COMPUTED_VALUE"""),"FQC Certification")</f>
        <v>FQC Certification</v>
      </c>
    </row>
    <row r="54">
      <c r="A54" s="14" t="str">
        <f>IFERROR(__xludf.DUMMYFUNCTION("""COMPUTED_VALUE"""),"Devin Weerasekera")</f>
        <v>Devin Weerasekera</v>
      </c>
      <c r="B54" s="14" t="str">
        <f>IFERROR(__xludf.DUMMYFUNCTION("""COMPUTED_VALUE"""),"2022-AT-C024")</f>
        <v>2022-AT-C024</v>
      </c>
      <c r="C54" s="17">
        <f>IFERROR(__xludf.DUMMYFUNCTION("""COMPUTED_VALUE"""),44761.0)</f>
        <v>44761</v>
      </c>
      <c r="D54" s="14" t="str">
        <f>IFERROR(__xludf.DUMMYFUNCTION("""COMPUTED_VALUE"""),"H")</f>
        <v>H</v>
      </c>
      <c r="E54" s="14" t="str">
        <f>IFERROR(__xludf.DUMMYFUNCTION("""COMPUTED_VALUE"""),"Sri Lanka")</f>
        <v>Sri Lanka</v>
      </c>
      <c r="F54" s="16" t="str">
        <f>IFERROR(__xludf.DUMMYFUNCTION("""COMPUTED_VALUE"""),"Control Union")</f>
        <v>Control Union</v>
      </c>
    </row>
    <row r="55">
      <c r="A55" s="14" t="str">
        <f>IFERROR(__xludf.DUMMYFUNCTION("""COMPUTED_VALUE"""),"Jian An Ma")</f>
        <v>Jian An Ma</v>
      </c>
      <c r="B55" s="14" t="str">
        <f>IFERROR(__xludf.DUMMYFUNCTION("""COMPUTED_VALUE"""),"2022-AT-C025")</f>
        <v>2022-AT-C025</v>
      </c>
      <c r="C55" s="17">
        <f>IFERROR(__xludf.DUMMYFUNCTION("""COMPUTED_VALUE"""),44801.0)</f>
        <v>44801</v>
      </c>
      <c r="D55" s="14" t="str">
        <f>IFERROR(__xludf.DUMMYFUNCTION("""COMPUTED_VALUE"""),"H")</f>
        <v>H</v>
      </c>
      <c r="E55" s="14" t="str">
        <f>IFERROR(__xludf.DUMMYFUNCTION("""COMPUTED_VALUE"""),"China")</f>
        <v>China</v>
      </c>
      <c r="F55" s="16" t="str">
        <f>IFERROR(__xludf.DUMMYFUNCTION("""COMPUTED_VALUE"""),"Bureau Veritas")</f>
        <v>Bureau Veritas</v>
      </c>
    </row>
    <row r="56">
      <c r="A56" s="14" t="str">
        <f>IFERROR(__xludf.DUMMYFUNCTION("""COMPUTED_VALUE"""),"Dana Wyatt")</f>
        <v>Dana Wyatt</v>
      </c>
      <c r="B56" s="14" t="str">
        <f>IFERROR(__xludf.DUMMYFUNCTION("""COMPUTED_VALUE"""),"2022-AT-C026")</f>
        <v>2022-AT-C026</v>
      </c>
      <c r="C56" s="17">
        <f>IFERROR(__xludf.DUMMYFUNCTION("""COMPUTED_VALUE"""),44810.0)</f>
        <v>44810</v>
      </c>
      <c r="D56" s="14" t="str">
        <f>IFERROR(__xludf.DUMMYFUNCTION("""COMPUTED_VALUE"""),"H")</f>
        <v>H</v>
      </c>
      <c r="E56" s="14" t="str">
        <f>IFERROR(__xludf.DUMMYFUNCTION("""COMPUTED_VALUE"""),"Trinidad")</f>
        <v>Trinidad</v>
      </c>
      <c r="F56" s="16" t="str">
        <f>IFERROR(__xludf.DUMMYFUNCTION("""COMPUTED_VALUE"""),"Control Union")</f>
        <v>Control Union</v>
      </c>
    </row>
    <row r="57">
      <c r="A57" s="14" t="str">
        <f>IFERROR(__xludf.DUMMYFUNCTION("""COMPUTED_VALUE"""),"Diego De Santis")</f>
        <v>Diego De Santis</v>
      </c>
      <c r="B57" s="14" t="str">
        <f>IFERROR(__xludf.DUMMYFUNCTION("""COMPUTED_VALUE"""),"2022-AT-C027")</f>
        <v>2022-AT-C027</v>
      </c>
      <c r="C57" s="17">
        <f>IFERROR(__xludf.DUMMYFUNCTION("""COMPUTED_VALUE"""),44813.0)</f>
        <v>44813</v>
      </c>
      <c r="D57" s="14" t="str">
        <f>IFERROR(__xludf.DUMMYFUNCTION("""COMPUTED_VALUE"""),"D")</f>
        <v>D</v>
      </c>
      <c r="E57" s="14" t="str">
        <f>IFERROR(__xludf.DUMMYFUNCTION("""COMPUTED_VALUE"""),"Italy")</f>
        <v>Italy</v>
      </c>
      <c r="F57" s="16" t="str">
        <f>IFERROR(__xludf.DUMMYFUNCTION("""COMPUTED_VALUE"""),"Vireo Sustainable Certification Sdn. Bhd.")</f>
        <v>Vireo Sustainable Certification Sdn. Bhd.</v>
      </c>
    </row>
    <row r="58">
      <c r="A58" s="14" t="str">
        <f>IFERROR(__xludf.DUMMYFUNCTION("""COMPUTED_VALUE"""),"ALPER DEVECİ")</f>
        <v>ALPER DEVECİ</v>
      </c>
      <c r="B58" s="14" t="str">
        <f>IFERROR(__xludf.DUMMYFUNCTION("""COMPUTED_VALUE"""),"2022-AT-C029")</f>
        <v>2022-AT-C029</v>
      </c>
      <c r="C58" s="17">
        <f>IFERROR(__xludf.DUMMYFUNCTION("""COMPUTED_VALUE"""),44824.0)</f>
        <v>44824</v>
      </c>
      <c r="D58" s="14" t="str">
        <f>IFERROR(__xludf.DUMMYFUNCTION("""COMPUTED_VALUE"""),"H")</f>
        <v>H</v>
      </c>
      <c r="E58" s="14" t="str">
        <f>IFERROR(__xludf.DUMMYFUNCTION("""COMPUTED_VALUE"""),"Turkiye")</f>
        <v>Turkiye</v>
      </c>
      <c r="F58" s="16" t="str">
        <f>IFERROR(__xludf.DUMMYFUNCTION("""COMPUTED_VALUE"""),"Bureau Veritas")</f>
        <v>Bureau Veritas</v>
      </c>
    </row>
    <row r="59">
      <c r="A59" s="14" t="str">
        <f>IFERROR(__xludf.DUMMYFUNCTION("""COMPUTED_VALUE"""),"GÜLİSTAN AKAY")</f>
        <v>GÜLİSTAN AKAY</v>
      </c>
      <c r="B59" s="14" t="str">
        <f>IFERROR(__xludf.DUMMYFUNCTION("""COMPUTED_VALUE"""),"2022-AT-C030")</f>
        <v>2022-AT-C030</v>
      </c>
      <c r="C59" s="17">
        <f>IFERROR(__xludf.DUMMYFUNCTION("""COMPUTED_VALUE"""),44824.0)</f>
        <v>44824</v>
      </c>
      <c r="D59" s="14" t="str">
        <f>IFERROR(__xludf.DUMMYFUNCTION("""COMPUTED_VALUE"""),"H")</f>
        <v>H</v>
      </c>
      <c r="E59" s="14" t="str">
        <f>IFERROR(__xludf.DUMMYFUNCTION("""COMPUTED_VALUE"""),"Turkiye")</f>
        <v>Turkiye</v>
      </c>
      <c r="F59" s="16" t="str">
        <f>IFERROR(__xludf.DUMMYFUNCTION("""COMPUTED_VALUE"""),"Bureau Veritas")</f>
        <v>Bureau Veritas</v>
      </c>
    </row>
    <row r="60">
      <c r="A60" s="14" t="str">
        <f>IFERROR(__xludf.DUMMYFUNCTION("""COMPUTED_VALUE"""),"MELİS CAN ÖZCAN")</f>
        <v>MELİS CAN ÖZCAN</v>
      </c>
      <c r="B60" s="14" t="str">
        <f>IFERROR(__xludf.DUMMYFUNCTION("""COMPUTED_VALUE"""),"2022-AT-C031")</f>
        <v>2022-AT-C031</v>
      </c>
      <c r="C60" s="17">
        <f>IFERROR(__xludf.DUMMYFUNCTION("""COMPUTED_VALUE"""),44824.0)</f>
        <v>44824</v>
      </c>
      <c r="D60" s="14" t="str">
        <f>IFERROR(__xludf.DUMMYFUNCTION("""COMPUTED_VALUE"""),"H")</f>
        <v>H</v>
      </c>
      <c r="E60" s="14" t="str">
        <f>IFERROR(__xludf.DUMMYFUNCTION("""COMPUTED_VALUE"""),"Turkiye")</f>
        <v>Turkiye</v>
      </c>
      <c r="F60" s="16" t="str">
        <f>IFERROR(__xludf.DUMMYFUNCTION("""COMPUTED_VALUE"""),"Bureau Veritas")</f>
        <v>Bureau Veritas</v>
      </c>
    </row>
    <row r="61">
      <c r="A61" s="14" t="str">
        <f>IFERROR(__xludf.DUMMYFUNCTION("""COMPUTED_VALUE"""),"MUKADDES TUNÇKIR")</f>
        <v>MUKADDES TUNÇKIR</v>
      </c>
      <c r="B61" s="14" t="str">
        <f>IFERROR(__xludf.DUMMYFUNCTION("""COMPUTED_VALUE"""),"2022-AT-C032")</f>
        <v>2022-AT-C032</v>
      </c>
      <c r="C61" s="17">
        <f>IFERROR(__xludf.DUMMYFUNCTION("""COMPUTED_VALUE"""),44824.0)</f>
        <v>44824</v>
      </c>
      <c r="D61" s="14" t="str">
        <f>IFERROR(__xludf.DUMMYFUNCTION("""COMPUTED_VALUE"""),"H")</f>
        <v>H</v>
      </c>
      <c r="E61" s="14" t="str">
        <f>IFERROR(__xludf.DUMMYFUNCTION("""COMPUTED_VALUE"""),"Turkiye")</f>
        <v>Turkiye</v>
      </c>
      <c r="F61" s="16" t="str">
        <f>IFERROR(__xludf.DUMMYFUNCTION("""COMPUTED_VALUE"""),"Bureau Veritas")</f>
        <v>Bureau Veritas</v>
      </c>
    </row>
    <row r="62">
      <c r="A62" s="14" t="str">
        <f>IFERROR(__xludf.DUMMYFUNCTION("""COMPUTED_VALUE"""),"ÖZGÜL SABİTOĞLU")</f>
        <v>ÖZGÜL SABİTOĞLU</v>
      </c>
      <c r="B62" s="14" t="str">
        <f>IFERROR(__xludf.DUMMYFUNCTION("""COMPUTED_VALUE"""),"2022-AT-C033")</f>
        <v>2022-AT-C033</v>
      </c>
      <c r="C62" s="17">
        <f>IFERROR(__xludf.DUMMYFUNCTION("""COMPUTED_VALUE"""),44824.0)</f>
        <v>44824</v>
      </c>
      <c r="D62" s="14" t="str">
        <f>IFERROR(__xludf.DUMMYFUNCTION("""COMPUTED_VALUE"""),"H")</f>
        <v>H</v>
      </c>
      <c r="E62" s="14" t="str">
        <f>IFERROR(__xludf.DUMMYFUNCTION("""COMPUTED_VALUE"""),"Turkiye")</f>
        <v>Turkiye</v>
      </c>
      <c r="F62" s="16" t="str">
        <f>IFERROR(__xludf.DUMMYFUNCTION("""COMPUTED_VALUE"""),"Bureau Veritas")</f>
        <v>Bureau Veritas</v>
      </c>
    </row>
    <row r="63">
      <c r="A63" s="14" t="str">
        <f>IFERROR(__xludf.DUMMYFUNCTION("""COMPUTED_VALUE"""),"ÖZLEM OKÇU")</f>
        <v>ÖZLEM OKÇU</v>
      </c>
      <c r="B63" s="14" t="str">
        <f>IFERROR(__xludf.DUMMYFUNCTION("""COMPUTED_VALUE"""),"2022-AT-C034")</f>
        <v>2022-AT-C034</v>
      </c>
      <c r="C63" s="17">
        <f>IFERROR(__xludf.DUMMYFUNCTION("""COMPUTED_VALUE"""),44824.0)</f>
        <v>44824</v>
      </c>
      <c r="D63" s="14" t="str">
        <f>IFERROR(__xludf.DUMMYFUNCTION("""COMPUTED_VALUE"""),"H")</f>
        <v>H</v>
      </c>
      <c r="E63" s="14" t="str">
        <f>IFERROR(__xludf.DUMMYFUNCTION("""COMPUTED_VALUE"""),"Turkiye")</f>
        <v>Turkiye</v>
      </c>
      <c r="F63" s="16" t="str">
        <f>IFERROR(__xludf.DUMMYFUNCTION("""COMPUTED_VALUE"""),"Bureau Veritas")</f>
        <v>Bureau Veritas</v>
      </c>
    </row>
    <row r="64">
      <c r="A64" s="14" t="str">
        <f>IFERROR(__xludf.DUMMYFUNCTION("""COMPUTED_VALUE"""),"SİBEL KARACA DEMİRCİOĞLU")</f>
        <v>SİBEL KARACA DEMİRCİOĞLU</v>
      </c>
      <c r="B64" s="14" t="str">
        <f>IFERROR(__xludf.DUMMYFUNCTION("""COMPUTED_VALUE"""),"2022-AT-C035")</f>
        <v>2022-AT-C035</v>
      </c>
      <c r="C64" s="17">
        <f>IFERROR(__xludf.DUMMYFUNCTION("""COMPUTED_VALUE"""),44824.0)</f>
        <v>44824</v>
      </c>
      <c r="D64" s="14" t="str">
        <f>IFERROR(__xludf.DUMMYFUNCTION("""COMPUTED_VALUE"""),"H")</f>
        <v>H</v>
      </c>
      <c r="E64" s="14" t="str">
        <f>IFERROR(__xludf.DUMMYFUNCTION("""COMPUTED_VALUE"""),"Turkiye")</f>
        <v>Turkiye</v>
      </c>
      <c r="F64" s="16" t="str">
        <f>IFERROR(__xludf.DUMMYFUNCTION("""COMPUTED_VALUE"""),"Bureau Veritas")</f>
        <v>Bureau Veritas</v>
      </c>
    </row>
    <row r="65">
      <c r="A65" s="14" t="str">
        <f>IFERROR(__xludf.DUMMYFUNCTION("""COMPUTED_VALUE"""),"UĞUR PEKBAY")</f>
        <v>UĞUR PEKBAY</v>
      </c>
      <c r="B65" s="14" t="str">
        <f>IFERROR(__xludf.DUMMYFUNCTION("""COMPUTED_VALUE"""),"2022-AT-C036")</f>
        <v>2022-AT-C036</v>
      </c>
      <c r="C65" s="17">
        <f>IFERROR(__xludf.DUMMYFUNCTION("""COMPUTED_VALUE"""),44824.0)</f>
        <v>44824</v>
      </c>
      <c r="D65" s="14" t="str">
        <f>IFERROR(__xludf.DUMMYFUNCTION("""COMPUTED_VALUE"""),"H")</f>
        <v>H</v>
      </c>
      <c r="E65" s="14" t="str">
        <f>IFERROR(__xludf.DUMMYFUNCTION("""COMPUTED_VALUE"""),"Turkiye")</f>
        <v>Turkiye</v>
      </c>
      <c r="F65" s="16" t="str">
        <f>IFERROR(__xludf.DUMMYFUNCTION("""COMPUTED_VALUE"""),"Bureau Veritas")</f>
        <v>Bureau Veritas</v>
      </c>
    </row>
    <row r="66">
      <c r="A66" s="14" t="str">
        <f>IFERROR(__xludf.DUMMYFUNCTION("""COMPUTED_VALUE"""),"UTKU OKAY")</f>
        <v>UTKU OKAY</v>
      </c>
      <c r="B66" s="14" t="str">
        <f>IFERROR(__xludf.DUMMYFUNCTION("""COMPUTED_VALUE"""),"2022-AT-C037")</f>
        <v>2022-AT-C037</v>
      </c>
      <c r="C66" s="17">
        <f>IFERROR(__xludf.DUMMYFUNCTION("""COMPUTED_VALUE"""),44824.0)</f>
        <v>44824</v>
      </c>
      <c r="D66" s="14" t="str">
        <f>IFERROR(__xludf.DUMMYFUNCTION("""COMPUTED_VALUE"""),"H")</f>
        <v>H</v>
      </c>
      <c r="E66" s="14" t="str">
        <f>IFERROR(__xludf.DUMMYFUNCTION("""COMPUTED_VALUE"""),"Turkiye")</f>
        <v>Turkiye</v>
      </c>
      <c r="F66" s="16" t="str">
        <f>IFERROR(__xludf.DUMMYFUNCTION("""COMPUTED_VALUE"""),"Bureau Veritas")</f>
        <v>Bureau Veritas</v>
      </c>
    </row>
    <row r="67">
      <c r="A67" s="14" t="str">
        <f>IFERROR(__xludf.DUMMYFUNCTION("""COMPUTED_VALUE"""),"ÖZGE HEMŞİNLİOĞLU")</f>
        <v>ÖZGE HEMŞİNLİOĞLU</v>
      </c>
      <c r="B67" s="14" t="str">
        <f>IFERROR(__xludf.DUMMYFUNCTION("""COMPUTED_VALUE"""),"2022-AT-C038")</f>
        <v>2022-AT-C038</v>
      </c>
      <c r="C67" s="17">
        <f>IFERROR(__xludf.DUMMYFUNCTION("""COMPUTED_VALUE"""),44831.0)</f>
        <v>44831</v>
      </c>
      <c r="D67" s="14" t="str">
        <f>IFERROR(__xludf.DUMMYFUNCTION("""COMPUTED_VALUE"""),"H")</f>
        <v>H</v>
      </c>
      <c r="E67" s="14" t="str">
        <f>IFERROR(__xludf.DUMMYFUNCTION("""COMPUTED_VALUE"""),"Turkiye")</f>
        <v>Turkiye</v>
      </c>
      <c r="F67" s="16" t="str">
        <f>IFERROR(__xludf.DUMMYFUNCTION("""COMPUTED_VALUE"""),"Bureau Veritas")</f>
        <v>Bureau Veritas</v>
      </c>
    </row>
    <row r="68">
      <c r="A68" s="14" t="str">
        <f>IFERROR(__xludf.DUMMYFUNCTION("""COMPUTED_VALUE"""),"YALIN BOZKURT")</f>
        <v>YALIN BOZKURT</v>
      </c>
      <c r="B68" s="14" t="str">
        <f>IFERROR(__xludf.DUMMYFUNCTION("""COMPUTED_VALUE"""),"2022-AT-C039")</f>
        <v>2022-AT-C039</v>
      </c>
      <c r="C68" s="17">
        <f>IFERROR(__xludf.DUMMYFUNCTION("""COMPUTED_VALUE"""),44831.0)</f>
        <v>44831</v>
      </c>
      <c r="D68" s="14" t="str">
        <f>IFERROR(__xludf.DUMMYFUNCTION("""COMPUTED_VALUE"""),"H")</f>
        <v>H</v>
      </c>
      <c r="E68" s="14" t="str">
        <f>IFERROR(__xludf.DUMMYFUNCTION("""COMPUTED_VALUE"""),"Turkiye")</f>
        <v>Turkiye</v>
      </c>
      <c r="F68" s="16" t="str">
        <f>IFERROR(__xludf.DUMMYFUNCTION("""COMPUTED_VALUE"""),"Bureau Veritas")</f>
        <v>Bureau Veritas</v>
      </c>
    </row>
    <row r="69">
      <c r="A69" s="14" t="str">
        <f>IFERROR(__xludf.DUMMYFUNCTION("""COMPUTED_VALUE"""),"Recep Karota")</f>
        <v>Recep Karota</v>
      </c>
      <c r="B69" s="14" t="str">
        <f>IFERROR(__xludf.DUMMYFUNCTION("""COMPUTED_VALUE"""),"2022-AT-C040")</f>
        <v>2022-AT-C040</v>
      </c>
      <c r="C69" s="17">
        <f>IFERROR(__xludf.DUMMYFUNCTION("""COMPUTED_VALUE"""),44831.0)</f>
        <v>44831</v>
      </c>
      <c r="D69" s="14" t="str">
        <f>IFERROR(__xludf.DUMMYFUNCTION("""COMPUTED_VALUE"""),"H")</f>
        <v>H</v>
      </c>
      <c r="E69" s="14" t="str">
        <f>IFERROR(__xludf.DUMMYFUNCTION("""COMPUTED_VALUE"""),"Turkiye")</f>
        <v>Turkiye</v>
      </c>
      <c r="F69" s="16" t="str">
        <f>IFERROR(__xludf.DUMMYFUNCTION("""COMPUTED_VALUE"""),"Bureau Veritas")</f>
        <v>Bureau Veritas</v>
      </c>
    </row>
    <row r="70">
      <c r="A70" s="14" t="str">
        <f>IFERROR(__xludf.DUMMYFUNCTION("""COMPUTED_VALUE"""),"Nejla Arslan")</f>
        <v>Nejla Arslan</v>
      </c>
      <c r="B70" s="14" t="str">
        <f>IFERROR(__xludf.DUMMYFUNCTION("""COMPUTED_VALUE"""),"2022-AT-C041")</f>
        <v>2022-AT-C041</v>
      </c>
      <c r="C70" s="17">
        <f>IFERROR(__xludf.DUMMYFUNCTION("""COMPUTED_VALUE"""),44831.0)</f>
        <v>44831</v>
      </c>
      <c r="D70" s="14" t="str">
        <f>IFERROR(__xludf.DUMMYFUNCTION("""COMPUTED_VALUE"""),"H")</f>
        <v>H</v>
      </c>
      <c r="E70" s="14" t="str">
        <f>IFERROR(__xludf.DUMMYFUNCTION("""COMPUTED_VALUE"""),"Turkiye")</f>
        <v>Turkiye</v>
      </c>
      <c r="F70" s="16" t="str">
        <f>IFERROR(__xludf.DUMMYFUNCTION("""COMPUTED_VALUE"""),"Bureau Veritas")</f>
        <v>Bureau Veritas</v>
      </c>
    </row>
    <row r="71">
      <c r="A71" s="14" t="str">
        <f>IFERROR(__xludf.DUMMYFUNCTION("""COMPUTED_VALUE"""),"OKAN ÖZDEMİR")</f>
        <v>OKAN ÖZDEMİR</v>
      </c>
      <c r="B71" s="14" t="str">
        <f>IFERROR(__xludf.DUMMYFUNCTION("""COMPUTED_VALUE"""),"2022-AT-C042")</f>
        <v>2022-AT-C042</v>
      </c>
      <c r="C71" s="17">
        <f>IFERROR(__xludf.DUMMYFUNCTION("""COMPUTED_VALUE"""),44831.0)</f>
        <v>44831</v>
      </c>
      <c r="D71" s="14" t="str">
        <f>IFERROR(__xludf.DUMMYFUNCTION("""COMPUTED_VALUE"""),"H")</f>
        <v>H</v>
      </c>
      <c r="E71" s="14" t="str">
        <f>IFERROR(__xludf.DUMMYFUNCTION("""COMPUTED_VALUE"""),"Turkiye")</f>
        <v>Turkiye</v>
      </c>
      <c r="F71" s="16" t="str">
        <f>IFERROR(__xludf.DUMMYFUNCTION("""COMPUTED_VALUE"""),"Bureau Veritas")</f>
        <v>Bureau Veritas</v>
      </c>
    </row>
    <row r="72">
      <c r="A72" s="14" t="str">
        <f>IFERROR(__xludf.DUMMYFUNCTION("""COMPUTED_VALUE"""),"Ebru Kumbaracı")</f>
        <v>Ebru Kumbaracı</v>
      </c>
      <c r="B72" s="14" t="str">
        <f>IFERROR(__xludf.DUMMYFUNCTION("""COMPUTED_VALUE"""),"2022-AT-C043")</f>
        <v>2022-AT-C043</v>
      </c>
      <c r="C72" s="17">
        <f>IFERROR(__xludf.DUMMYFUNCTION("""COMPUTED_VALUE"""),44831.0)</f>
        <v>44831</v>
      </c>
      <c r="D72" s="14" t="str">
        <f>IFERROR(__xludf.DUMMYFUNCTION("""COMPUTED_VALUE"""),"H")</f>
        <v>H</v>
      </c>
      <c r="E72" s="14" t="str">
        <f>IFERROR(__xludf.DUMMYFUNCTION("""COMPUTED_VALUE"""),"#N/A")</f>
        <v>#N/A</v>
      </c>
      <c r="F72" s="16" t="str">
        <f>IFERROR(__xludf.DUMMYFUNCTION("""COMPUTED_VALUE"""),"#N/A")</f>
        <v>#N/A</v>
      </c>
    </row>
    <row r="73">
      <c r="A73" s="14" t="str">
        <f>IFERROR(__xludf.DUMMYFUNCTION("""COMPUTED_VALUE"""),"Chris Thompson")</f>
        <v>Chris Thompson</v>
      </c>
      <c r="B73" s="14" t="str">
        <f>IFERROR(__xludf.DUMMYFUNCTION("""COMPUTED_VALUE"""),"2022-AT-C044")</f>
        <v>2022-AT-C044</v>
      </c>
      <c r="C73" s="17">
        <f>IFERROR(__xludf.DUMMYFUNCTION("""COMPUTED_VALUE"""),44831.0)</f>
        <v>44831</v>
      </c>
      <c r="D73" s="14" t="str">
        <f>IFERROR(__xludf.DUMMYFUNCTION("""COMPUTED_VALUE"""),"H")</f>
        <v>H</v>
      </c>
      <c r="E73" s="14" t="str">
        <f>IFERROR(__xludf.DUMMYFUNCTION("""COMPUTED_VALUE"""),"United Kingdom")</f>
        <v>United Kingdom</v>
      </c>
      <c r="F73" s="16" t="str">
        <f>IFERROR(__xludf.DUMMYFUNCTION("""COMPUTED_VALUE"""),"Travelife")</f>
        <v>Travelife</v>
      </c>
    </row>
    <row r="74">
      <c r="A74" s="14" t="str">
        <f>IFERROR(__xludf.DUMMYFUNCTION("""COMPUTED_VALUE"""),"Egemen BELET")</f>
        <v>Egemen BELET</v>
      </c>
      <c r="B74" s="14" t="str">
        <f>IFERROR(__xludf.DUMMYFUNCTION("""COMPUTED_VALUE"""),"2022-AT-C045")</f>
        <v>2022-AT-C045</v>
      </c>
      <c r="C74" s="17">
        <f>IFERROR(__xludf.DUMMYFUNCTION("""COMPUTED_VALUE"""),44841.0)</f>
        <v>44841</v>
      </c>
      <c r="D74" s="14" t="str">
        <f>IFERROR(__xludf.DUMMYFUNCTION("""COMPUTED_VALUE"""),"H")</f>
        <v>H</v>
      </c>
      <c r="E74" s="14" t="str">
        <f>IFERROR(__xludf.DUMMYFUNCTION("""COMPUTED_VALUE"""),"Turkiye")</f>
        <v>Turkiye</v>
      </c>
      <c r="F74" s="16" t="str">
        <f>IFERROR(__xludf.DUMMYFUNCTION("""COMPUTED_VALUE"""),"Bureau Veritas")</f>
        <v>Bureau Veritas</v>
      </c>
    </row>
    <row r="75">
      <c r="A75" s="14" t="str">
        <f>IFERROR(__xludf.DUMMYFUNCTION("""COMPUTED_VALUE"""),"Halil Burak Sakal")</f>
        <v>Halil Burak Sakal</v>
      </c>
      <c r="B75" s="14" t="str">
        <f>IFERROR(__xludf.DUMMYFUNCTION("""COMPUTED_VALUE"""),"2022-AT-C046")</f>
        <v>2022-AT-C046</v>
      </c>
      <c r="C75" s="17">
        <f>IFERROR(__xludf.DUMMYFUNCTION("""COMPUTED_VALUE"""),44845.0)</f>
        <v>44845</v>
      </c>
      <c r="D75" s="14" t="str">
        <f>IFERROR(__xludf.DUMMYFUNCTION("""COMPUTED_VALUE"""),"H")</f>
        <v>H</v>
      </c>
      <c r="E75" s="14" t="str">
        <f>IFERROR(__xludf.DUMMYFUNCTION("""COMPUTED_VALUE"""),"Turkiye")</f>
        <v>Turkiye</v>
      </c>
      <c r="F75" s="16" t="str">
        <f>IFERROR(__xludf.DUMMYFUNCTION("""COMPUTED_VALUE"""),"Cappadocia University")</f>
        <v>Cappadocia University</v>
      </c>
    </row>
    <row r="76">
      <c r="A76" s="14" t="str">
        <f>IFERROR(__xludf.DUMMYFUNCTION("""COMPUTED_VALUE"""),"Hale Günay")</f>
        <v>Hale Günay</v>
      </c>
      <c r="B76" s="14" t="str">
        <f>IFERROR(__xludf.DUMMYFUNCTION("""COMPUTED_VALUE"""),"2022-AT-C047")</f>
        <v>2022-AT-C047</v>
      </c>
      <c r="C76" s="17">
        <f>IFERROR(__xludf.DUMMYFUNCTION("""COMPUTED_VALUE"""),44845.0)</f>
        <v>44845</v>
      </c>
      <c r="D76" s="14" t="str">
        <f>IFERROR(__xludf.DUMMYFUNCTION("""COMPUTED_VALUE"""),"H")</f>
        <v>H</v>
      </c>
      <c r="E76" s="14" t="str">
        <f>IFERROR(__xludf.DUMMYFUNCTION("""COMPUTED_VALUE"""),"Turkiye")</f>
        <v>Turkiye</v>
      </c>
      <c r="F76" s="16" t="str">
        <f>IFERROR(__xludf.DUMMYFUNCTION("""COMPUTED_VALUE"""),"Bureau Veritas")</f>
        <v>Bureau Veritas</v>
      </c>
    </row>
    <row r="77">
      <c r="A77" s="14" t="str">
        <f>IFERROR(__xludf.DUMMYFUNCTION("""COMPUTED_VALUE"""),"Dana Wyatt")</f>
        <v>Dana Wyatt</v>
      </c>
      <c r="B77" s="14" t="str">
        <f>IFERROR(__xludf.DUMMYFUNCTION("""COMPUTED_VALUE"""),"2022-AT-C048")</f>
        <v>2022-AT-C048</v>
      </c>
      <c r="C77" s="17">
        <f>IFERROR(__xludf.DUMMYFUNCTION("""COMPUTED_VALUE"""),44847.0)</f>
        <v>44847</v>
      </c>
      <c r="D77" s="14" t="str">
        <f>IFERROR(__xludf.DUMMYFUNCTION("""COMPUTED_VALUE"""),"TO")</f>
        <v>TO</v>
      </c>
      <c r="E77" s="14" t="str">
        <f>IFERROR(__xludf.DUMMYFUNCTION("""COMPUTED_VALUE"""),"Trinidad")</f>
        <v>Trinidad</v>
      </c>
      <c r="F77" s="16" t="str">
        <f>IFERROR(__xludf.DUMMYFUNCTION("""COMPUTED_VALUE"""),"Control Union")</f>
        <v>Control Union</v>
      </c>
    </row>
    <row r="78">
      <c r="A78" s="14" t="str">
        <f>IFERROR(__xludf.DUMMYFUNCTION("""COMPUTED_VALUE"""),"Anjalika Madugalla")</f>
        <v>Anjalika Madugalla</v>
      </c>
      <c r="B78" s="14" t="str">
        <f>IFERROR(__xludf.DUMMYFUNCTION("""COMPUTED_VALUE"""),"2022-AT-C049")</f>
        <v>2022-AT-C049</v>
      </c>
      <c r="C78" s="17">
        <f>IFERROR(__xludf.DUMMYFUNCTION("""COMPUTED_VALUE"""),44852.0)</f>
        <v>44852</v>
      </c>
      <c r="D78" s="14" t="str">
        <f>IFERROR(__xludf.DUMMYFUNCTION("""COMPUTED_VALUE"""),"H")</f>
        <v>H</v>
      </c>
      <c r="E78" s="14" t="str">
        <f>IFERROR(__xludf.DUMMYFUNCTION("""COMPUTED_VALUE"""),"Sri Lanka")</f>
        <v>Sri Lanka</v>
      </c>
      <c r="F78" s="16" t="str">
        <f>IFERROR(__xludf.DUMMYFUNCTION("""COMPUTED_VALUE"""),"Control Union")</f>
        <v>Control Union</v>
      </c>
    </row>
    <row r="79">
      <c r="A79" s="14" t="str">
        <f>IFERROR(__xludf.DUMMYFUNCTION("""COMPUTED_VALUE"""),"Daniele Candreva")</f>
        <v>Daniele Candreva</v>
      </c>
      <c r="B79" s="14" t="str">
        <f>IFERROR(__xludf.DUMMYFUNCTION("""COMPUTED_VALUE"""),"2022-AT-C050")</f>
        <v>2022-AT-C050</v>
      </c>
      <c r="C79" s="17">
        <f>IFERROR(__xludf.DUMMYFUNCTION("""COMPUTED_VALUE"""),44852.0)</f>
        <v>44852</v>
      </c>
      <c r="D79" s="14" t="str">
        <f>IFERROR(__xludf.DUMMYFUNCTION("""COMPUTED_VALUE"""),"HTO")</f>
        <v>HTO</v>
      </c>
      <c r="E79" s="14" t="str">
        <f>IFERROR(__xludf.DUMMYFUNCTION("""COMPUTED_VALUE"""),"Italy")</f>
        <v>Italy</v>
      </c>
      <c r="F79" s="16" t="str">
        <f>IFERROR(__xludf.DUMMYFUNCTION("""COMPUTED_VALUE"""),"Vireo Sustainable Certification Sdn. Bhd.")</f>
        <v>Vireo Sustainable Certification Sdn. Bhd.</v>
      </c>
    </row>
    <row r="80">
      <c r="A80" s="14" t="str">
        <f>IFERROR(__xludf.DUMMYFUNCTION("""COMPUTED_VALUE"""),"Daniele Candreva")</f>
        <v>Daniele Candreva</v>
      </c>
      <c r="B80" s="14" t="str">
        <f>IFERROR(__xludf.DUMMYFUNCTION("""COMPUTED_VALUE"""),"2022-AT-C051")</f>
        <v>2022-AT-C051</v>
      </c>
      <c r="C80" s="17">
        <f>IFERROR(__xludf.DUMMYFUNCTION("""COMPUTED_VALUE"""),44852.0)</f>
        <v>44852</v>
      </c>
      <c r="D80" s="14" t="str">
        <f>IFERROR(__xludf.DUMMYFUNCTION("""COMPUTED_VALUE"""),"D")</f>
        <v>D</v>
      </c>
      <c r="E80" s="14" t="str">
        <f>IFERROR(__xludf.DUMMYFUNCTION("""COMPUTED_VALUE"""),"Italy")</f>
        <v>Italy</v>
      </c>
      <c r="F80" s="16" t="str">
        <f>IFERROR(__xludf.DUMMYFUNCTION("""COMPUTED_VALUE"""),"Vireo Sustainable Certification Sdn. Bhd.")</f>
        <v>Vireo Sustainable Certification Sdn. Bhd.</v>
      </c>
    </row>
    <row r="81">
      <c r="A81" s="14" t="str">
        <f>IFERROR(__xludf.DUMMYFUNCTION("""COMPUTED_VALUE"""),"Hakan Saltık")</f>
        <v>Hakan Saltık</v>
      </c>
      <c r="B81" s="14" t="str">
        <f>IFERROR(__xludf.DUMMYFUNCTION("""COMPUTED_VALUE"""),"2022-AT-C052")</f>
        <v>2022-AT-C052</v>
      </c>
      <c r="C81" s="17">
        <f>IFERROR(__xludf.DUMMYFUNCTION("""COMPUTED_VALUE"""),44858.0)</f>
        <v>44858</v>
      </c>
      <c r="D81" s="14" t="str">
        <f>IFERROR(__xludf.DUMMYFUNCTION("""COMPUTED_VALUE"""),"H")</f>
        <v>H</v>
      </c>
      <c r="E81" s="14" t="str">
        <f>IFERROR(__xludf.DUMMYFUNCTION("""COMPUTED_VALUE"""),"Turkiye")</f>
        <v>Turkiye</v>
      </c>
      <c r="F81" s="16" t="str">
        <f>IFERROR(__xludf.DUMMYFUNCTION("""COMPUTED_VALUE"""),"FQC Certification")</f>
        <v>FQC Certification</v>
      </c>
    </row>
    <row r="82">
      <c r="A82" s="14" t="str">
        <f>IFERROR(__xludf.DUMMYFUNCTION("""COMPUTED_VALUE"""),"Sami Ilker Canat")</f>
        <v>Sami Ilker Canat</v>
      </c>
      <c r="B82" s="14" t="str">
        <f>IFERROR(__xludf.DUMMYFUNCTION("""COMPUTED_VALUE"""),"2022-AT-C053")</f>
        <v>2022-AT-C053</v>
      </c>
      <c r="C82" s="17">
        <f>IFERROR(__xludf.DUMMYFUNCTION("""COMPUTED_VALUE"""),44874.0)</f>
        <v>44874</v>
      </c>
      <c r="D82" s="14" t="str">
        <f>IFERROR(__xludf.DUMMYFUNCTION("""COMPUTED_VALUE"""),"H")</f>
        <v>H</v>
      </c>
      <c r="E82" s="14" t="str">
        <f>IFERROR(__xludf.DUMMYFUNCTION("""COMPUTED_VALUE"""),"Turkiye")</f>
        <v>Turkiye</v>
      </c>
      <c r="F82" s="16" t="str">
        <f>IFERROR(__xludf.DUMMYFUNCTION("""COMPUTED_VALUE"""),"Control Union")</f>
        <v>Control Union</v>
      </c>
    </row>
    <row r="83">
      <c r="A83" s="14" t="str">
        <f>IFERROR(__xludf.DUMMYFUNCTION("""COMPUTED_VALUE"""),"BÜLENT DOKUZOĞLU")</f>
        <v>BÜLENT DOKUZOĞLU</v>
      </c>
      <c r="B83" s="14" t="str">
        <f>IFERROR(__xludf.DUMMYFUNCTION("""COMPUTED_VALUE"""),"2022-AT-C054")</f>
        <v>2022-AT-C054</v>
      </c>
      <c r="C83" s="17">
        <f>IFERROR(__xludf.DUMMYFUNCTION("""COMPUTED_VALUE"""),44874.0)</f>
        <v>44874</v>
      </c>
      <c r="D83" s="14" t="str">
        <f>IFERROR(__xludf.DUMMYFUNCTION("""COMPUTED_VALUE"""),"H")</f>
        <v>H</v>
      </c>
      <c r="E83" s="14" t="str">
        <f>IFERROR(__xludf.DUMMYFUNCTION("""COMPUTED_VALUE"""),"Turkiye")</f>
        <v>Turkiye</v>
      </c>
      <c r="F83" s="16" t="str">
        <f>IFERROR(__xludf.DUMMYFUNCTION("""COMPUTED_VALUE"""),"ROYALCERT")</f>
        <v>ROYALCERT</v>
      </c>
    </row>
    <row r="84">
      <c r="A84" s="14" t="str">
        <f>IFERROR(__xludf.DUMMYFUNCTION("""COMPUTED_VALUE"""),"ERTUGRUL OZDEMIR")</f>
        <v>ERTUGRUL OZDEMIR</v>
      </c>
      <c r="B84" s="14" t="str">
        <f>IFERROR(__xludf.DUMMYFUNCTION("""COMPUTED_VALUE"""),"2022-AT-C055")</f>
        <v>2022-AT-C055</v>
      </c>
      <c r="C84" s="17">
        <f>IFERROR(__xludf.DUMMYFUNCTION("""COMPUTED_VALUE"""),44874.0)</f>
        <v>44874</v>
      </c>
      <c r="D84" s="14" t="str">
        <f>IFERROR(__xludf.DUMMYFUNCTION("""COMPUTED_VALUE"""),"H")</f>
        <v>H</v>
      </c>
      <c r="E84" s="14" t="str">
        <f>IFERROR(__xludf.DUMMYFUNCTION("""COMPUTED_VALUE"""),"Turkiye")</f>
        <v>Turkiye</v>
      </c>
      <c r="F84" s="16" t="str">
        <f>IFERROR(__xludf.DUMMYFUNCTION("""COMPUTED_VALUE"""),"Control Union")</f>
        <v>Control Union</v>
      </c>
    </row>
    <row r="85">
      <c r="A85" s="14" t="str">
        <f>IFERROR(__xludf.DUMMYFUNCTION("""COMPUTED_VALUE"""),"Görkem Kurşunlu Karakuş")</f>
        <v>Görkem Kurşunlu Karakuş</v>
      </c>
      <c r="B85" s="14" t="str">
        <f>IFERROR(__xludf.DUMMYFUNCTION("""COMPUTED_VALUE"""),"2022-AT-C056")</f>
        <v>2022-AT-C056</v>
      </c>
      <c r="C85" s="17">
        <f>IFERROR(__xludf.DUMMYFUNCTION("""COMPUTED_VALUE"""),44874.0)</f>
        <v>44874</v>
      </c>
      <c r="D85" s="14" t="str">
        <f>IFERROR(__xludf.DUMMYFUNCTION("""COMPUTED_VALUE"""),"H")</f>
        <v>H</v>
      </c>
      <c r="E85" s="14" t="str">
        <f>IFERROR(__xludf.DUMMYFUNCTION("""COMPUTED_VALUE"""),"Turkiye")</f>
        <v>Turkiye</v>
      </c>
      <c r="F85" s="16" t="str">
        <f>IFERROR(__xludf.DUMMYFUNCTION("""COMPUTED_VALUE"""),"Republic of Türkiye Ministry of Culture and Tourism")</f>
        <v>Republic of Türkiye Ministry of Culture and Tourism</v>
      </c>
    </row>
    <row r="86">
      <c r="A86" s="14" t="str">
        <f>IFERROR(__xludf.DUMMYFUNCTION("""COMPUTED_VALUE"""),"Caner Palavan")</f>
        <v>Caner Palavan</v>
      </c>
      <c r="B86" s="14" t="str">
        <f>IFERROR(__xludf.DUMMYFUNCTION("""COMPUTED_VALUE"""),"2022-AT-C057")</f>
        <v>2022-AT-C057</v>
      </c>
      <c r="C86" s="17">
        <f>IFERROR(__xludf.DUMMYFUNCTION("""COMPUTED_VALUE"""),44903.0)</f>
        <v>44903</v>
      </c>
      <c r="D86" s="14" t="str">
        <f>IFERROR(__xludf.DUMMYFUNCTION("""COMPUTED_VALUE"""),"HTO")</f>
        <v>HTO</v>
      </c>
      <c r="E86" s="14" t="str">
        <f>IFERROR(__xludf.DUMMYFUNCTION("""COMPUTED_VALUE"""),"Turkiye")</f>
        <v>Turkiye</v>
      </c>
      <c r="F86" s="16" t="str">
        <f>IFERROR(__xludf.DUMMYFUNCTION("""COMPUTED_VALUE"""),"ROYALCERT")</f>
        <v>ROYALCERT</v>
      </c>
    </row>
    <row r="87">
      <c r="A87" s="14" t="str">
        <f>IFERROR(__xludf.DUMMYFUNCTION("""COMPUTED_VALUE"""),"NUKHET ELBİR")</f>
        <v>NUKHET ELBİR</v>
      </c>
      <c r="B87" s="14" t="str">
        <f>IFERROR(__xludf.DUMMYFUNCTION("""COMPUTED_VALUE"""),"2022-AT-C058")</f>
        <v>2022-AT-C058</v>
      </c>
      <c r="C87" s="17">
        <f>IFERROR(__xludf.DUMMYFUNCTION("""COMPUTED_VALUE"""),44904.0)</f>
        <v>44904</v>
      </c>
      <c r="D87" s="14" t="str">
        <f>IFERROR(__xludf.DUMMYFUNCTION("""COMPUTED_VALUE"""),"H")</f>
        <v>H</v>
      </c>
      <c r="E87" s="14" t="str">
        <f>IFERROR(__xludf.DUMMYFUNCTION("""COMPUTED_VALUE"""),"Turkiye")</f>
        <v>Turkiye</v>
      </c>
      <c r="F87" s="16" t="str">
        <f>IFERROR(__xludf.DUMMYFUNCTION("""COMPUTED_VALUE"""),"ROYALCERT")</f>
        <v>ROYALCERT</v>
      </c>
    </row>
    <row r="88">
      <c r="A88" s="14" t="str">
        <f>IFERROR(__xludf.DUMMYFUNCTION("""COMPUTED_VALUE"""),"ELİF ERKAN")</f>
        <v>ELİF ERKAN</v>
      </c>
      <c r="B88" s="14" t="str">
        <f>IFERROR(__xludf.DUMMYFUNCTION("""COMPUTED_VALUE"""),"2022-AT-C059")</f>
        <v>2022-AT-C059</v>
      </c>
      <c r="C88" s="17">
        <f>IFERROR(__xludf.DUMMYFUNCTION("""COMPUTED_VALUE"""),44905.0)</f>
        <v>44905</v>
      </c>
      <c r="D88" s="14" t="str">
        <f>IFERROR(__xludf.DUMMYFUNCTION("""COMPUTED_VALUE"""),"H")</f>
        <v>H</v>
      </c>
      <c r="E88" s="14" t="str">
        <f>IFERROR(__xludf.DUMMYFUNCTION("""COMPUTED_VALUE"""),"Turkiye")</f>
        <v>Turkiye</v>
      </c>
      <c r="F88" s="16" t="str">
        <f>IFERROR(__xludf.DUMMYFUNCTION("""COMPUTED_VALUE"""),"ROYALCERT")</f>
        <v>ROYALCERT</v>
      </c>
    </row>
    <row r="89">
      <c r="A89" s="14" t="str">
        <f>IFERROR(__xludf.DUMMYFUNCTION("""COMPUTED_VALUE"""),"SELENGE BİRAVCI")</f>
        <v>SELENGE BİRAVCI</v>
      </c>
      <c r="B89" s="14" t="str">
        <f>IFERROR(__xludf.DUMMYFUNCTION("""COMPUTED_VALUE"""),"2022-AT-C060")</f>
        <v>2022-AT-C060</v>
      </c>
      <c r="C89" s="17">
        <f>IFERROR(__xludf.DUMMYFUNCTION("""COMPUTED_VALUE"""),44905.0)</f>
        <v>44905</v>
      </c>
      <c r="D89" s="14" t="str">
        <f>IFERROR(__xludf.DUMMYFUNCTION("""COMPUTED_VALUE"""),"H")</f>
        <v>H</v>
      </c>
      <c r="E89" s="14" t="str">
        <f>IFERROR(__xludf.DUMMYFUNCTION("""COMPUTED_VALUE"""),"Turkiye")</f>
        <v>Turkiye</v>
      </c>
      <c r="F89" s="16" t="str">
        <f>IFERROR(__xludf.DUMMYFUNCTION("""COMPUTED_VALUE"""),"ROYALCERT")</f>
        <v>ROYALCERT</v>
      </c>
    </row>
    <row r="90">
      <c r="A90" s="14" t="str">
        <f>IFERROR(__xludf.DUMMYFUNCTION("""COMPUTED_VALUE"""),"Ayfer ADIGÜZEL")</f>
        <v>Ayfer ADIGÜZEL</v>
      </c>
      <c r="B90" s="14" t="str">
        <f>IFERROR(__xludf.DUMMYFUNCTION("""COMPUTED_VALUE"""),"2022-AT-C061")</f>
        <v>2022-AT-C061</v>
      </c>
      <c r="C90" s="17">
        <f>IFERROR(__xludf.DUMMYFUNCTION("""COMPUTED_VALUE"""),44905.0)</f>
        <v>44905</v>
      </c>
      <c r="D90" s="14" t="str">
        <f>IFERROR(__xludf.DUMMYFUNCTION("""COMPUTED_VALUE"""),"H")</f>
        <v>H</v>
      </c>
      <c r="E90" s="14" t="str">
        <f>IFERROR(__xludf.DUMMYFUNCTION("""COMPUTED_VALUE"""),"Turkiye")</f>
        <v>Turkiye</v>
      </c>
      <c r="F90" s="16" t="str">
        <f>IFERROR(__xludf.DUMMYFUNCTION("""COMPUTED_VALUE"""),"ROYALCERT")</f>
        <v>ROYALCERT</v>
      </c>
    </row>
    <row r="91">
      <c r="A91" s="14" t="str">
        <f>IFERROR(__xludf.DUMMYFUNCTION("""COMPUTED_VALUE"""),"SÜMEYRA DUYAR")</f>
        <v>SÜMEYRA DUYAR</v>
      </c>
      <c r="B91" s="14" t="str">
        <f>IFERROR(__xludf.DUMMYFUNCTION("""COMPUTED_VALUE"""),"2022-AT-C062")</f>
        <v>2022-AT-C062</v>
      </c>
      <c r="C91" s="17">
        <f>IFERROR(__xludf.DUMMYFUNCTION("""COMPUTED_VALUE"""),44905.0)</f>
        <v>44905</v>
      </c>
      <c r="D91" s="14" t="str">
        <f>IFERROR(__xludf.DUMMYFUNCTION("""COMPUTED_VALUE"""),"H")</f>
        <v>H</v>
      </c>
      <c r="E91" s="14" t="str">
        <f>IFERROR(__xludf.DUMMYFUNCTION("""COMPUTED_VALUE"""),"Turkiye")</f>
        <v>Turkiye</v>
      </c>
      <c r="F91" s="16" t="str">
        <f>IFERROR(__xludf.DUMMYFUNCTION("""COMPUTED_VALUE"""),"ROYALCERT")</f>
        <v>ROYALCERT</v>
      </c>
    </row>
    <row r="92">
      <c r="A92" s="14" t="str">
        <f>IFERROR(__xludf.DUMMYFUNCTION("""COMPUTED_VALUE"""),"Jace Waithe")</f>
        <v>Jace Waithe</v>
      </c>
      <c r="B92" s="14" t="str">
        <f>IFERROR(__xludf.DUMMYFUNCTION("""COMPUTED_VALUE"""),"2022-AT-C063")</f>
        <v>2022-AT-C063</v>
      </c>
      <c r="C92" s="17">
        <f>IFERROR(__xludf.DUMMYFUNCTION("""COMPUTED_VALUE"""),44909.0)</f>
        <v>44909</v>
      </c>
      <c r="D92" s="14" t="str">
        <f>IFERROR(__xludf.DUMMYFUNCTION("""COMPUTED_VALUE"""),"H")</f>
        <v>H</v>
      </c>
      <c r="E92" s="14" t="str">
        <f>IFERROR(__xludf.DUMMYFUNCTION("""COMPUTED_VALUE"""),"Trinidad")</f>
        <v>Trinidad</v>
      </c>
      <c r="F92" s="16" t="str">
        <f>IFERROR(__xludf.DUMMYFUNCTION("""COMPUTED_VALUE"""),"Control Union")</f>
        <v>Control Union</v>
      </c>
    </row>
    <row r="93">
      <c r="A93" s="14" t="str">
        <f>IFERROR(__xludf.DUMMYFUNCTION("""COMPUTED_VALUE"""),"Diego De Santis")</f>
        <v>Diego De Santis</v>
      </c>
      <c r="B93" s="14" t="str">
        <f>IFERROR(__xludf.DUMMYFUNCTION("""COMPUTED_VALUE"""),"2022-AT-C064")</f>
        <v>2022-AT-C064</v>
      </c>
      <c r="C93" s="17">
        <f>IFERROR(__xludf.DUMMYFUNCTION("""COMPUTED_VALUE"""),44917.0)</f>
        <v>44917</v>
      </c>
      <c r="D93" s="14" t="str">
        <f>IFERROR(__xludf.DUMMYFUNCTION("""COMPUTED_VALUE"""),"HTO")</f>
        <v>HTO</v>
      </c>
      <c r="E93" s="14" t="str">
        <f>IFERROR(__xludf.DUMMYFUNCTION("""COMPUTED_VALUE"""),"Italy")</f>
        <v>Italy</v>
      </c>
      <c r="F93" s="16" t="str">
        <f>IFERROR(__xludf.DUMMYFUNCTION("""COMPUTED_VALUE"""),"Vireo Sustainable Certification Sdn. Bhd.")</f>
        <v>Vireo Sustainable Certification Sdn. Bhd.</v>
      </c>
    </row>
    <row r="94">
      <c r="A94" s="14" t="str">
        <f>IFERROR(__xludf.DUMMYFUNCTION("""COMPUTED_VALUE"""),"ELİF ERKAN")</f>
        <v>ELİF ERKAN</v>
      </c>
      <c r="B94" s="14" t="str">
        <f>IFERROR(__xludf.DUMMYFUNCTION("""COMPUTED_VALUE"""),"2023-AT-C065")</f>
        <v>2023-AT-C065</v>
      </c>
      <c r="C94" s="17">
        <f>IFERROR(__xludf.DUMMYFUNCTION("""COMPUTED_VALUE"""),44928.0)</f>
        <v>44928</v>
      </c>
      <c r="D94" s="14" t="str">
        <f>IFERROR(__xludf.DUMMYFUNCTION("""COMPUTED_VALUE"""),"TO")</f>
        <v>TO</v>
      </c>
      <c r="E94" s="14" t="str">
        <f>IFERROR(__xludf.DUMMYFUNCTION("""COMPUTED_VALUE"""),"Turkiye")</f>
        <v>Turkiye</v>
      </c>
      <c r="F94" s="16" t="str">
        <f>IFERROR(__xludf.DUMMYFUNCTION("""COMPUTED_VALUE"""),"ROYALCERT")</f>
        <v>ROYALCERT</v>
      </c>
    </row>
    <row r="95">
      <c r="A95" s="14" t="str">
        <f>IFERROR(__xludf.DUMMYFUNCTION("""COMPUTED_VALUE"""),"SELENGE BİRAVCI")</f>
        <v>SELENGE BİRAVCI</v>
      </c>
      <c r="B95" s="14" t="str">
        <f>IFERROR(__xludf.DUMMYFUNCTION("""COMPUTED_VALUE"""),"2023-AT-C066")</f>
        <v>2023-AT-C066</v>
      </c>
      <c r="C95" s="17">
        <f>IFERROR(__xludf.DUMMYFUNCTION("""COMPUTED_VALUE"""),44928.0)</f>
        <v>44928</v>
      </c>
      <c r="D95" s="14" t="str">
        <f>IFERROR(__xludf.DUMMYFUNCTION("""COMPUTED_VALUE"""),"TO")</f>
        <v>TO</v>
      </c>
      <c r="E95" s="14" t="str">
        <f>IFERROR(__xludf.DUMMYFUNCTION("""COMPUTED_VALUE"""),"Turkiye")</f>
        <v>Turkiye</v>
      </c>
      <c r="F95" s="16" t="str">
        <f>IFERROR(__xludf.DUMMYFUNCTION("""COMPUTED_VALUE"""),"ROYALCERT")</f>
        <v>ROYALCERT</v>
      </c>
    </row>
    <row r="96">
      <c r="A96" s="14" t="str">
        <f>IFERROR(__xludf.DUMMYFUNCTION("""COMPUTED_VALUE"""),"SÜMEYRA DUYAR")</f>
        <v>SÜMEYRA DUYAR</v>
      </c>
      <c r="B96" s="14" t="str">
        <f>IFERROR(__xludf.DUMMYFUNCTION("""COMPUTED_VALUE"""),"2023-AT-C067")</f>
        <v>2023-AT-C067</v>
      </c>
      <c r="C96" s="17">
        <f>IFERROR(__xludf.DUMMYFUNCTION("""COMPUTED_VALUE"""),44928.0)</f>
        <v>44928</v>
      </c>
      <c r="D96" s="14" t="str">
        <f>IFERROR(__xludf.DUMMYFUNCTION("""COMPUTED_VALUE"""),"TO")</f>
        <v>TO</v>
      </c>
      <c r="E96" s="14" t="str">
        <f>IFERROR(__xludf.DUMMYFUNCTION("""COMPUTED_VALUE"""),"Turkiye")</f>
        <v>Turkiye</v>
      </c>
      <c r="F96" s="16" t="str">
        <f>IFERROR(__xludf.DUMMYFUNCTION("""COMPUTED_VALUE"""),"ROYALCERT")</f>
        <v>ROYALCERT</v>
      </c>
    </row>
    <row r="97">
      <c r="A97" s="14" t="str">
        <f>IFERROR(__xludf.DUMMYFUNCTION("""COMPUTED_VALUE"""),"AYFER ADIGÜZEL")</f>
        <v>AYFER ADIGÜZEL</v>
      </c>
      <c r="B97" s="14" t="str">
        <f>IFERROR(__xludf.DUMMYFUNCTION("""COMPUTED_VALUE"""),"2023-AT-C068")</f>
        <v>2023-AT-C068</v>
      </c>
      <c r="C97" s="17">
        <f>IFERROR(__xludf.DUMMYFUNCTION("""COMPUTED_VALUE"""),44928.0)</f>
        <v>44928</v>
      </c>
      <c r="D97" s="14" t="str">
        <f>IFERROR(__xludf.DUMMYFUNCTION("""COMPUTED_VALUE"""),"TO")</f>
        <v>TO</v>
      </c>
      <c r="E97" s="14" t="str">
        <f>IFERROR(__xludf.DUMMYFUNCTION("""COMPUTED_VALUE"""),"Turkiye")</f>
        <v>Turkiye</v>
      </c>
      <c r="F97" s="16" t="str">
        <f>IFERROR(__xludf.DUMMYFUNCTION("""COMPUTED_VALUE"""),"ROYALCERT")</f>
        <v>ROYALCERT</v>
      </c>
    </row>
    <row r="98">
      <c r="A98" s="14" t="str">
        <f>IFERROR(__xludf.DUMMYFUNCTION("""COMPUTED_VALUE"""),"Seda Erkekli")</f>
        <v>Seda Erkekli</v>
      </c>
      <c r="B98" s="14" t="str">
        <f>IFERROR(__xludf.DUMMYFUNCTION("""COMPUTED_VALUE"""),"2023-AT-C069")</f>
        <v>2023-AT-C069</v>
      </c>
      <c r="C98" s="17">
        <f>IFERROR(__xludf.DUMMYFUNCTION("""COMPUTED_VALUE"""),44932.0)</f>
        <v>44932</v>
      </c>
      <c r="D98" s="14" t="str">
        <f>IFERROR(__xludf.DUMMYFUNCTION("""COMPUTED_VALUE"""),"H")</f>
        <v>H</v>
      </c>
      <c r="E98" s="14" t="str">
        <f>IFERROR(__xludf.DUMMYFUNCTION("""COMPUTED_VALUE"""),"Turkiye")</f>
        <v>Turkiye</v>
      </c>
      <c r="F98" s="16" t="str">
        <f>IFERROR(__xludf.DUMMYFUNCTION("""COMPUTED_VALUE"""),"Ankara Hacı Bayram Veli Üniversitesi")</f>
        <v>Ankara Hacı Bayram Veli Üniversitesi</v>
      </c>
    </row>
    <row r="99">
      <c r="A99" s="14" t="str">
        <f>IFERROR(__xludf.DUMMYFUNCTION("""COMPUTED_VALUE"""),"Tuğçe Atıcı Keskin")</f>
        <v>Tuğçe Atıcı Keskin</v>
      </c>
      <c r="B99" s="14" t="str">
        <f>IFERROR(__xludf.DUMMYFUNCTION("""COMPUTED_VALUE"""),"2023-AT-C070")</f>
        <v>2023-AT-C070</v>
      </c>
      <c r="C99" s="17">
        <f>IFERROR(__xludf.DUMMYFUNCTION("""COMPUTED_VALUE"""),44932.0)</f>
        <v>44932</v>
      </c>
      <c r="D99" s="14" t="str">
        <f>IFERROR(__xludf.DUMMYFUNCTION("""COMPUTED_VALUE"""),"H")</f>
        <v>H</v>
      </c>
      <c r="E99" s="14" t="str">
        <f>IFERROR(__xludf.DUMMYFUNCTION("""COMPUTED_VALUE"""),"Turkiye")</f>
        <v>Turkiye</v>
      </c>
      <c r="F99" s="16" t="str">
        <f>IFERROR(__xludf.DUMMYFUNCTION("""COMPUTED_VALUE"""),"TUV")</f>
        <v>TUV</v>
      </c>
    </row>
    <row r="100">
      <c r="A100" s="14" t="str">
        <f>IFERROR(__xludf.DUMMYFUNCTION("""COMPUTED_VALUE"""),"Mehmet BAHAR")</f>
        <v>Mehmet BAHAR</v>
      </c>
      <c r="B100" s="14" t="str">
        <f>IFERROR(__xludf.DUMMYFUNCTION("""COMPUTED_VALUE"""),"2023-AT-C071")</f>
        <v>2023-AT-C071</v>
      </c>
      <c r="C100" s="17">
        <f>IFERROR(__xludf.DUMMYFUNCTION("""COMPUTED_VALUE"""),44932.0)</f>
        <v>44932</v>
      </c>
      <c r="D100" s="14" t="str">
        <f>IFERROR(__xludf.DUMMYFUNCTION("""COMPUTED_VALUE"""),"H")</f>
        <v>H</v>
      </c>
      <c r="E100" s="14" t="str">
        <f>IFERROR(__xludf.DUMMYFUNCTION("""COMPUTED_VALUE"""),"Turkiye")</f>
        <v>Turkiye</v>
      </c>
      <c r="F100" s="16" t="str">
        <f>IFERROR(__xludf.DUMMYFUNCTION("""COMPUTED_VALUE"""),"Cappadocia University")</f>
        <v>Cappadocia University</v>
      </c>
    </row>
    <row r="101">
      <c r="A101" s="14" t="str">
        <f>IFERROR(__xludf.DUMMYFUNCTION("""COMPUTED_VALUE"""),"MUSTAFA SÖĞÜT")</f>
        <v>MUSTAFA SÖĞÜT</v>
      </c>
      <c r="B101" s="14" t="str">
        <f>IFERROR(__xludf.DUMMYFUNCTION("""COMPUTED_VALUE"""),"2023-AT-C072")</f>
        <v>2023-AT-C072</v>
      </c>
      <c r="C101" s="17">
        <f>IFERROR(__xludf.DUMMYFUNCTION("""COMPUTED_VALUE"""),44932.0)</f>
        <v>44932</v>
      </c>
      <c r="D101" s="14" t="str">
        <f>IFERROR(__xludf.DUMMYFUNCTION("""COMPUTED_VALUE"""),"H")</f>
        <v>H</v>
      </c>
      <c r="E101" s="14" t="str">
        <f>IFERROR(__xludf.DUMMYFUNCTION("""COMPUTED_VALUE"""),"Turkiye")</f>
        <v>Turkiye</v>
      </c>
      <c r="F101" s="16" t="str">
        <f>IFERROR(__xludf.DUMMYFUNCTION("""COMPUTED_VALUE"""),"Travelife")</f>
        <v>Travelife</v>
      </c>
    </row>
    <row r="102">
      <c r="A102" s="14" t="str">
        <f>IFERROR(__xludf.DUMMYFUNCTION("""COMPUTED_VALUE"""),"Ahmet Akçacıoğlu")</f>
        <v>Ahmet Akçacıoğlu</v>
      </c>
      <c r="B102" s="14" t="str">
        <f>IFERROR(__xludf.DUMMYFUNCTION("""COMPUTED_VALUE"""),"2023-AT-C073")</f>
        <v>2023-AT-C073</v>
      </c>
      <c r="C102" s="17">
        <f>IFERROR(__xludf.DUMMYFUNCTION("""COMPUTED_VALUE"""),44932.0)</f>
        <v>44932</v>
      </c>
      <c r="D102" s="14" t="str">
        <f>IFERROR(__xludf.DUMMYFUNCTION("""COMPUTED_VALUE"""),"H")</f>
        <v>H</v>
      </c>
      <c r="E102" s="14" t="str">
        <f>IFERROR(__xludf.DUMMYFUNCTION("""COMPUTED_VALUE"""),"Turkiye")</f>
        <v>Turkiye</v>
      </c>
      <c r="F102" s="16" t="str">
        <f>IFERROR(__xludf.DUMMYFUNCTION("""COMPUTED_VALUE"""),"ISIS (International Safety Inspection Service)")</f>
        <v>ISIS (International Safety Inspection Service)</v>
      </c>
    </row>
    <row r="103">
      <c r="A103" s="14" t="str">
        <f>IFERROR(__xludf.DUMMYFUNCTION("""COMPUTED_VALUE"""),"Necati Alperen Tezekici")</f>
        <v>Necati Alperen Tezekici</v>
      </c>
      <c r="B103" s="14" t="str">
        <f>IFERROR(__xludf.DUMMYFUNCTION("""COMPUTED_VALUE"""),"2023-AT-C074")</f>
        <v>2023-AT-C074</v>
      </c>
      <c r="C103" s="17">
        <f>IFERROR(__xludf.DUMMYFUNCTION("""COMPUTED_VALUE"""),44956.0)</f>
        <v>44956</v>
      </c>
      <c r="D103" s="14" t="str">
        <f>IFERROR(__xludf.DUMMYFUNCTION("""COMPUTED_VALUE"""),"H")</f>
        <v>H</v>
      </c>
      <c r="E103" s="14"/>
      <c r="F103" s="16" t="str">
        <f>IFERROR(__xludf.DUMMYFUNCTION("""COMPUTED_VALUE"""),"International Conformity Assessment Service INC.")</f>
        <v>International Conformity Assessment Service INC.</v>
      </c>
    </row>
    <row r="104">
      <c r="A104" s="14" t="str">
        <f>IFERROR(__xludf.DUMMYFUNCTION("""COMPUTED_VALUE"""),"Divan van Zyl")</f>
        <v>Divan van Zyl</v>
      </c>
      <c r="B104" s="14" t="str">
        <f>IFERROR(__xludf.DUMMYFUNCTION("""COMPUTED_VALUE"""),"2023-AT-C075")</f>
        <v>2023-AT-C075</v>
      </c>
      <c r="C104" s="17">
        <f>IFERROR(__xludf.DUMMYFUNCTION("""COMPUTED_VALUE"""),44960.0)</f>
        <v>44960</v>
      </c>
      <c r="D104" s="14" t="str">
        <f>IFERROR(__xludf.DUMMYFUNCTION("""COMPUTED_VALUE"""),"H")</f>
        <v>H</v>
      </c>
      <c r="E104" s="14" t="str">
        <f>IFERROR(__xludf.DUMMYFUNCTION("""COMPUTED_VALUE"""),"South Africa")</f>
        <v>South Africa</v>
      </c>
      <c r="F104" s="16" t="str">
        <f>IFERROR(__xludf.DUMMYFUNCTION("""COMPUTED_VALUE"""),"Control Union")</f>
        <v>Control Union</v>
      </c>
    </row>
    <row r="105">
      <c r="A105" s="14" t="str">
        <f>IFERROR(__xludf.DUMMYFUNCTION("""COMPUTED_VALUE"""),"Arif TOK")</f>
        <v>Arif TOK</v>
      </c>
      <c r="B105" s="14" t="str">
        <f>IFERROR(__xludf.DUMMYFUNCTION("""COMPUTED_VALUE"""),"2023-AT-C076")</f>
        <v>2023-AT-C076</v>
      </c>
      <c r="C105" s="17">
        <f>IFERROR(__xludf.DUMMYFUNCTION("""COMPUTED_VALUE"""),44970.0)</f>
        <v>44970</v>
      </c>
      <c r="D105" s="14" t="str">
        <f>IFERROR(__xludf.DUMMYFUNCTION("""COMPUTED_VALUE"""),"H")</f>
        <v>H</v>
      </c>
      <c r="E105" s="14" t="str">
        <f>IFERROR(__xludf.DUMMYFUNCTION("""COMPUTED_VALUE"""),"Turkiye")</f>
        <v>Turkiye</v>
      </c>
      <c r="F105" s="16" t="str">
        <f>IFERROR(__xludf.DUMMYFUNCTION("""COMPUTED_VALUE"""),"ISOQAR Türkiye")</f>
        <v>ISOQAR Türkiye</v>
      </c>
    </row>
    <row r="106">
      <c r="A106" s="14" t="str">
        <f>IFERROR(__xludf.DUMMYFUNCTION("""COMPUTED_VALUE"""),"EMRA ÖZBUDAK")</f>
        <v>EMRA ÖZBUDAK</v>
      </c>
      <c r="B106" s="14" t="str">
        <f>IFERROR(__xludf.DUMMYFUNCTION("""COMPUTED_VALUE"""),"2023-AT-C077")</f>
        <v>2023-AT-C077</v>
      </c>
      <c r="C106" s="17">
        <f>IFERROR(__xludf.DUMMYFUNCTION("""COMPUTED_VALUE"""),44970.0)</f>
        <v>44970</v>
      </c>
      <c r="D106" s="14" t="str">
        <f>IFERROR(__xludf.DUMMYFUNCTION("""COMPUTED_VALUE"""),"H")</f>
        <v>H</v>
      </c>
      <c r="E106" s="14" t="str">
        <f>IFERROR(__xludf.DUMMYFUNCTION("""COMPUTED_VALUE"""),"Turkiye")</f>
        <v>Turkiye</v>
      </c>
      <c r="F106" s="16" t="str">
        <f>IFERROR(__xludf.DUMMYFUNCTION("""COMPUTED_VALUE"""),"E KALİTE")</f>
        <v>E KALİTE</v>
      </c>
    </row>
    <row r="107">
      <c r="A107" s="14" t="str">
        <f>IFERROR(__xludf.DUMMYFUNCTION("""COMPUTED_VALUE"""),"Hacer Dokuzluoğlu")</f>
        <v>Hacer Dokuzluoğlu</v>
      </c>
      <c r="B107" s="14" t="str">
        <f>IFERROR(__xludf.DUMMYFUNCTION("""COMPUTED_VALUE"""),"2023-AT-C078")</f>
        <v>2023-AT-C078</v>
      </c>
      <c r="C107" s="17">
        <f>IFERROR(__xludf.DUMMYFUNCTION("""COMPUTED_VALUE"""),44970.0)</f>
        <v>44970</v>
      </c>
      <c r="D107" s="14" t="str">
        <f>IFERROR(__xludf.DUMMYFUNCTION("""COMPUTED_VALUE"""),"H")</f>
        <v>H</v>
      </c>
      <c r="E107" s="14"/>
      <c r="F107" s="16" t="str">
        <f>IFERROR(__xludf.DUMMYFUNCTION("""COMPUTED_VALUE"""),"Arbo Yönetim Özel Eğitim Hizmetleri Tic. LTD. ŞTİ.")</f>
        <v>Arbo Yönetim Özel Eğitim Hizmetleri Tic. LTD. ŞTİ.</v>
      </c>
    </row>
    <row r="108">
      <c r="A108" s="14" t="str">
        <f>IFERROR(__xludf.DUMMYFUNCTION("""COMPUTED_VALUE"""),"Ayşe MAT")</f>
        <v>Ayşe MAT</v>
      </c>
      <c r="B108" s="14" t="str">
        <f>IFERROR(__xludf.DUMMYFUNCTION("""COMPUTED_VALUE"""),"2023-AT-C079")</f>
        <v>2023-AT-C079</v>
      </c>
      <c r="C108" s="17">
        <f>IFERROR(__xludf.DUMMYFUNCTION("""COMPUTED_VALUE"""),44972.0)</f>
        <v>44972</v>
      </c>
      <c r="D108" s="14" t="str">
        <f>IFERROR(__xludf.DUMMYFUNCTION("""COMPUTED_VALUE"""),"H")</f>
        <v>H</v>
      </c>
      <c r="E108" s="14"/>
      <c r="F108" s="16" t="str">
        <f>IFERROR(__xludf.DUMMYFUNCTION("""COMPUTED_VALUE"""),"ISOQAR Türkiye")</f>
        <v>ISOQAR Türkiye</v>
      </c>
    </row>
    <row r="109">
      <c r="A109" s="14" t="str">
        <f>IFERROR(__xludf.DUMMYFUNCTION("""COMPUTED_VALUE"""),"Binh PHAN")</f>
        <v>Binh PHAN</v>
      </c>
      <c r="B109" s="14" t="str">
        <f>IFERROR(__xludf.DUMMYFUNCTION("""COMPUTED_VALUE"""),"2023-AT-C080")</f>
        <v>2023-AT-C080</v>
      </c>
      <c r="C109" s="17">
        <f>IFERROR(__xludf.DUMMYFUNCTION("""COMPUTED_VALUE"""),45000.0)</f>
        <v>45000</v>
      </c>
      <c r="D109" s="14" t="str">
        <f>IFERROR(__xludf.DUMMYFUNCTION("""COMPUTED_VALUE"""),"HTO")</f>
        <v>HTO</v>
      </c>
      <c r="E109" s="14" t="str">
        <f>IFERROR(__xludf.DUMMYFUNCTION("""COMPUTED_VALUE"""),"Vietnam")</f>
        <v>Vietnam</v>
      </c>
      <c r="F109" s="16" t="str">
        <f>IFERROR(__xludf.DUMMYFUNCTION("""COMPUTED_VALUE"""),"Bureau Veritas")</f>
        <v>Bureau Veritas</v>
      </c>
    </row>
    <row r="110">
      <c r="A110" s="14" t="str">
        <f>IFERROR(__xludf.DUMMYFUNCTION("""COMPUTED_VALUE"""),"Arthur Lee")</f>
        <v>Arthur Lee</v>
      </c>
      <c r="B110" s="14" t="str">
        <f>IFERROR(__xludf.DUMMYFUNCTION("""COMPUTED_VALUE"""),"2023-AT-C081")</f>
        <v>2023-AT-C081</v>
      </c>
      <c r="C110" s="17">
        <f>IFERROR(__xludf.DUMMYFUNCTION("""COMPUTED_VALUE"""),45013.0)</f>
        <v>45013</v>
      </c>
      <c r="D110" s="14" t="str">
        <f>IFERROR(__xludf.DUMMYFUNCTION("""COMPUTED_VALUE"""),"H")</f>
        <v>H</v>
      </c>
      <c r="E110" s="14" t="str">
        <f>IFERROR(__xludf.DUMMYFUNCTION("""COMPUTED_VALUE"""),"Malaysia")</f>
        <v>Malaysia</v>
      </c>
      <c r="F110" s="16" t="str">
        <f>IFERROR(__xludf.DUMMYFUNCTION("""COMPUTED_VALUE"""),"Vireo Sustainable Certification Sdn. Bhd.")</f>
        <v>Vireo Sustainable Certification Sdn. Bhd.</v>
      </c>
    </row>
    <row r="111">
      <c r="A111" s="14" t="str">
        <f>IFERROR(__xludf.DUMMYFUNCTION("""COMPUTED_VALUE"""),"ESRA OZKIRAN")</f>
        <v>ESRA OZKIRAN</v>
      </c>
      <c r="B111" s="14" t="str">
        <f>IFERROR(__xludf.DUMMYFUNCTION("""COMPUTED_VALUE"""),"2023-AT-C082")</f>
        <v>2023-AT-C082</v>
      </c>
      <c r="C111" s="17">
        <f>IFERROR(__xludf.DUMMYFUNCTION("""COMPUTED_VALUE"""),45013.0)</f>
        <v>45013</v>
      </c>
      <c r="D111" s="14" t="str">
        <f>IFERROR(__xludf.DUMMYFUNCTION("""COMPUTED_VALUE"""),"H")</f>
        <v>H</v>
      </c>
      <c r="E111" s="14" t="str">
        <f>IFERROR(__xludf.DUMMYFUNCTION("""COMPUTED_VALUE"""),"Turkiye")</f>
        <v>Turkiye</v>
      </c>
      <c r="F111" s="16" t="str">
        <f>IFERROR(__xludf.DUMMYFUNCTION("""COMPUTED_VALUE"""),"Bureau Veritas")</f>
        <v>Bureau Veritas</v>
      </c>
    </row>
    <row r="112">
      <c r="A112" s="14" t="str">
        <f>IFERROR(__xludf.DUMMYFUNCTION("""COMPUTED_VALUE"""),"Leyla Jahn")</f>
        <v>Leyla Jahn</v>
      </c>
      <c r="B112" s="14" t="str">
        <f>IFERROR(__xludf.DUMMYFUNCTION("""COMPUTED_VALUE"""),"2023-AT-C083")</f>
        <v>2023-AT-C083</v>
      </c>
      <c r="C112" s="17">
        <f>IFERROR(__xludf.DUMMYFUNCTION("""COMPUTED_VALUE"""),45013.0)</f>
        <v>45013</v>
      </c>
      <c r="D112" s="14" t="str">
        <f>IFERROR(__xludf.DUMMYFUNCTION("""COMPUTED_VALUE"""),"H")</f>
        <v>H</v>
      </c>
      <c r="E112" s="14"/>
      <c r="F112" s="16" t="str">
        <f>IFERROR(__xludf.DUMMYFUNCTION("""COMPUTED_VALUE"""),"Control Union")</f>
        <v>Control Union</v>
      </c>
    </row>
    <row r="113">
      <c r="A113" s="14" t="str">
        <f>IFERROR(__xludf.DUMMYFUNCTION("""COMPUTED_VALUE"""),"HAKAN ÖKSÜZ")</f>
        <v>HAKAN ÖKSÜZ</v>
      </c>
      <c r="B113" s="14" t="str">
        <f>IFERROR(__xludf.DUMMYFUNCTION("""COMPUTED_VALUE"""),"2023-AT-C084")</f>
        <v>2023-AT-C084</v>
      </c>
      <c r="C113" s="17">
        <f>IFERROR(__xludf.DUMMYFUNCTION("""COMPUTED_VALUE"""),45013.0)</f>
        <v>45013</v>
      </c>
      <c r="D113" s="14" t="str">
        <f>IFERROR(__xludf.DUMMYFUNCTION("""COMPUTED_VALUE"""),"H")</f>
        <v>H</v>
      </c>
      <c r="E113" s="14"/>
      <c r="F113" s="16" t="str">
        <f>IFERROR(__xludf.DUMMYFUNCTION("""COMPUTED_VALUE"""),"Bureau Veritas")</f>
        <v>Bureau Veritas</v>
      </c>
    </row>
    <row r="114">
      <c r="A114" s="14" t="str">
        <f>IFERROR(__xludf.DUMMYFUNCTION("""COMPUTED_VALUE"""),"Duygu ÇABUK")</f>
        <v>Duygu ÇABUK</v>
      </c>
      <c r="B114" s="14" t="str">
        <f>IFERROR(__xludf.DUMMYFUNCTION("""COMPUTED_VALUE"""),"2023-AT-C085")</f>
        <v>2023-AT-C085</v>
      </c>
      <c r="C114" s="17">
        <f>IFERROR(__xludf.DUMMYFUNCTION("""COMPUTED_VALUE"""),45015.0)</f>
        <v>45015</v>
      </c>
      <c r="D114" s="14" t="str">
        <f>IFERROR(__xludf.DUMMYFUNCTION("""COMPUTED_VALUE"""),"H")</f>
        <v>H</v>
      </c>
      <c r="E114" s="14" t="str">
        <f>IFERROR(__xludf.DUMMYFUNCTION("""COMPUTED_VALUE"""),"Turkiye")</f>
        <v>Turkiye</v>
      </c>
      <c r="F114" s="16" t="str">
        <f>IFERROR(__xludf.DUMMYFUNCTION("""COMPUTED_VALUE"""),"Control Union")</f>
        <v>Control Union</v>
      </c>
    </row>
    <row r="115">
      <c r="A115" s="14" t="str">
        <f>IFERROR(__xludf.DUMMYFUNCTION("""COMPUTED_VALUE"""),"Yener Kestel")</f>
        <v>Yener Kestel</v>
      </c>
      <c r="B115" s="14" t="str">
        <f>IFERROR(__xludf.DUMMYFUNCTION("""COMPUTED_VALUE"""),"2023-AT-C086")</f>
        <v>2023-AT-C086</v>
      </c>
      <c r="C115" s="17">
        <f>IFERROR(__xludf.DUMMYFUNCTION("""COMPUTED_VALUE"""),45015.0)</f>
        <v>45015</v>
      </c>
      <c r="D115" s="14" t="str">
        <f>IFERROR(__xludf.DUMMYFUNCTION("""COMPUTED_VALUE"""),"H")</f>
        <v>H</v>
      </c>
      <c r="E115" s="14" t="str">
        <f>IFERROR(__xludf.DUMMYFUNCTION("""COMPUTED_VALUE"""),"Turkiye")</f>
        <v>Turkiye</v>
      </c>
      <c r="F115" s="16" t="str">
        <f>IFERROR(__xludf.DUMMYFUNCTION("""COMPUTED_VALUE"""),"Control Union")</f>
        <v>Control Union</v>
      </c>
    </row>
    <row r="116">
      <c r="A116" s="14" t="str">
        <f>IFERROR(__xludf.DUMMYFUNCTION("""COMPUTED_VALUE"""),"Gülcan Açıkel")</f>
        <v>Gülcan Açıkel</v>
      </c>
      <c r="B116" s="14" t="str">
        <f>IFERROR(__xludf.DUMMYFUNCTION("""COMPUTED_VALUE"""),"2023-AT-C087")</f>
        <v>2023-AT-C087</v>
      </c>
      <c r="C116" s="17">
        <f>IFERROR(__xludf.DUMMYFUNCTION("""COMPUTED_VALUE"""),45015.0)</f>
        <v>45015</v>
      </c>
      <c r="D116" s="14" t="str">
        <f>IFERROR(__xludf.DUMMYFUNCTION("""COMPUTED_VALUE"""),"H")</f>
        <v>H</v>
      </c>
      <c r="E116" s="14" t="str">
        <f>IFERROR(__xludf.DUMMYFUNCTION("""COMPUTED_VALUE"""),"Turkiye")</f>
        <v>Turkiye</v>
      </c>
      <c r="F116" s="16" t="str">
        <f>IFERROR(__xludf.DUMMYFUNCTION("""COMPUTED_VALUE"""),"Control Union")</f>
        <v>Control Union</v>
      </c>
    </row>
    <row r="117">
      <c r="A117" s="14" t="str">
        <f>IFERROR(__xludf.DUMMYFUNCTION("""COMPUTED_VALUE"""),"Wee Lee Tan")</f>
        <v>Wee Lee Tan</v>
      </c>
      <c r="B117" s="14" t="str">
        <f>IFERROR(__xludf.DUMMYFUNCTION("""COMPUTED_VALUE"""),"2023-AT-C088")</f>
        <v>2023-AT-C088</v>
      </c>
      <c r="C117" s="17">
        <f>IFERROR(__xludf.DUMMYFUNCTION("""COMPUTED_VALUE"""),45016.0)</f>
        <v>45016</v>
      </c>
      <c r="D117" s="14" t="str">
        <f>IFERROR(__xludf.DUMMYFUNCTION("""COMPUTED_VALUE"""),"H")</f>
        <v>H</v>
      </c>
      <c r="E117" s="14" t="str">
        <f>IFERROR(__xludf.DUMMYFUNCTION("""COMPUTED_VALUE"""),"Singapore")</f>
        <v>Singapore</v>
      </c>
      <c r="F117" s="16" t="str">
        <f>IFERROR(__xludf.DUMMYFUNCTION("""COMPUTED_VALUE"""),"Bureau Veritas")</f>
        <v>Bureau Veritas</v>
      </c>
    </row>
    <row r="118">
      <c r="A118" s="14" t="str">
        <f>IFERROR(__xludf.DUMMYFUNCTION("""COMPUTED_VALUE"""),"Eda Polat Yalçın")</f>
        <v>Eda Polat Yalçın</v>
      </c>
      <c r="B118" s="14" t="str">
        <f>IFERROR(__xludf.DUMMYFUNCTION("""COMPUTED_VALUE"""),"2023-AT-C089")</f>
        <v>2023-AT-C089</v>
      </c>
      <c r="C118" s="17">
        <f>IFERROR(__xludf.DUMMYFUNCTION("""COMPUTED_VALUE"""),45022.0)</f>
        <v>45022</v>
      </c>
      <c r="D118" s="14" t="str">
        <f>IFERROR(__xludf.DUMMYFUNCTION("""COMPUTED_VALUE"""),"H")</f>
        <v>H</v>
      </c>
      <c r="E118" s="14" t="str">
        <f>IFERROR(__xludf.DUMMYFUNCTION("""COMPUTED_VALUE"""),"Turkiye")</f>
        <v>Turkiye</v>
      </c>
      <c r="F118" s="16" t="str">
        <f>IFERROR(__xludf.DUMMYFUNCTION("""COMPUTED_VALUE"""),"AGFO Teknik Kontrol ve Belgelendirme Hiz. Ltd. Şti.")</f>
        <v>AGFO Teknik Kontrol ve Belgelendirme Hiz. Ltd. Şti.</v>
      </c>
    </row>
    <row r="119">
      <c r="A119" s="14" t="str">
        <f>IFERROR(__xludf.DUMMYFUNCTION("""COMPUTED_VALUE"""),"Nurdan SÖZEN")</f>
        <v>Nurdan SÖZEN</v>
      </c>
      <c r="B119" s="14" t="str">
        <f>IFERROR(__xludf.DUMMYFUNCTION("""COMPUTED_VALUE"""),"2023-AT-C090")</f>
        <v>2023-AT-C090</v>
      </c>
      <c r="C119" s="17">
        <f>IFERROR(__xludf.DUMMYFUNCTION("""COMPUTED_VALUE"""),45022.0)</f>
        <v>45022</v>
      </c>
      <c r="D119" s="14" t="str">
        <f>IFERROR(__xludf.DUMMYFUNCTION("""COMPUTED_VALUE"""),"H")</f>
        <v>H</v>
      </c>
      <c r="E119" s="14"/>
      <c r="F119" s="16" t="str">
        <f>IFERROR(__xludf.DUMMYFUNCTION("""COMPUTED_VALUE"""),"International Conformity Assessment Service INC.")</f>
        <v>International Conformity Assessment Service INC.</v>
      </c>
    </row>
    <row r="120">
      <c r="A120" s="14" t="str">
        <f>IFERROR(__xludf.DUMMYFUNCTION("""COMPUTED_VALUE"""),"Hamit ÖZGÜR")</f>
        <v>Hamit ÖZGÜR</v>
      </c>
      <c r="B120" s="14" t="str">
        <f>IFERROR(__xludf.DUMMYFUNCTION("""COMPUTED_VALUE"""),"2023-AT-C091")</f>
        <v>2023-AT-C091</v>
      </c>
      <c r="C120" s="17">
        <f>IFERROR(__xludf.DUMMYFUNCTION("""COMPUTED_VALUE"""),45022.0)</f>
        <v>45022</v>
      </c>
      <c r="D120" s="14" t="str">
        <f>IFERROR(__xludf.DUMMYFUNCTION("""COMPUTED_VALUE"""),"H")</f>
        <v>H</v>
      </c>
      <c r="E120" s="14"/>
      <c r="F120" s="16" t="str">
        <f>IFERROR(__xludf.DUMMYFUNCTION("""COMPUTED_VALUE"""),"International Conformity Assessment Service INC.")</f>
        <v>International Conformity Assessment Service INC.</v>
      </c>
    </row>
    <row r="121">
      <c r="A121" s="14" t="str">
        <f>IFERROR(__xludf.DUMMYFUNCTION("""COMPUTED_VALUE"""),"Vildan Cihantimur")</f>
        <v>Vildan Cihantimur</v>
      </c>
      <c r="B121" s="14" t="str">
        <f>IFERROR(__xludf.DUMMYFUNCTION("""COMPUTED_VALUE"""),"2023-AT-C092")</f>
        <v>2023-AT-C092</v>
      </c>
      <c r="C121" s="17">
        <f>IFERROR(__xludf.DUMMYFUNCTION("""COMPUTED_VALUE"""),45023.0)</f>
        <v>45023</v>
      </c>
      <c r="D121" s="14" t="str">
        <f>IFERROR(__xludf.DUMMYFUNCTION("""COMPUTED_VALUE"""),"H")</f>
        <v>H</v>
      </c>
      <c r="E121" s="14" t="str">
        <f>IFERROR(__xludf.DUMMYFUNCTION("""COMPUTED_VALUE"""),"Turkiye")</f>
        <v>Turkiye</v>
      </c>
      <c r="F121" s="16" t="str">
        <f>IFERROR(__xludf.DUMMYFUNCTION("""COMPUTED_VALUE"""),"Türkiye Tourism Promotion and Development Agency (TGA)")</f>
        <v>Türkiye Tourism Promotion and Development Agency (TGA)</v>
      </c>
    </row>
    <row r="122">
      <c r="A122" s="14" t="str">
        <f>IFERROR(__xludf.DUMMYFUNCTION("""COMPUTED_VALUE"""),"Duygu Bora")</f>
        <v>Duygu Bora</v>
      </c>
      <c r="B122" s="14" t="str">
        <f>IFERROR(__xludf.DUMMYFUNCTION("""COMPUTED_VALUE"""),"2023-AT-C093")</f>
        <v>2023-AT-C093</v>
      </c>
      <c r="C122" s="17">
        <f>IFERROR(__xludf.DUMMYFUNCTION("""COMPUTED_VALUE"""),45033.0)</f>
        <v>45033</v>
      </c>
      <c r="D122" s="14" t="str">
        <f>IFERROR(__xludf.DUMMYFUNCTION("""COMPUTED_VALUE"""),"H")</f>
        <v>H</v>
      </c>
      <c r="E122" s="14" t="str">
        <f>IFERROR(__xludf.DUMMYFUNCTION("""COMPUTED_VALUE"""),"Turkiye")</f>
        <v>Turkiye</v>
      </c>
      <c r="F122" s="16" t="str">
        <f>IFERROR(__xludf.DUMMYFUNCTION("""COMPUTED_VALUE"""),"Cappadocia University")</f>
        <v>Cappadocia University</v>
      </c>
    </row>
    <row r="123">
      <c r="A123" s="14" t="str">
        <f>IFERROR(__xludf.DUMMYFUNCTION("""COMPUTED_VALUE"""),"Jace Waithe")</f>
        <v>Jace Waithe</v>
      </c>
      <c r="B123" s="14" t="str">
        <f>IFERROR(__xludf.DUMMYFUNCTION("""COMPUTED_VALUE"""),"2023-AT-C094")</f>
        <v>2023-AT-C094</v>
      </c>
      <c r="C123" s="17">
        <f>IFERROR(__xludf.DUMMYFUNCTION("""COMPUTED_VALUE"""),45033.0)</f>
        <v>45033</v>
      </c>
      <c r="D123" s="14" t="str">
        <f>IFERROR(__xludf.DUMMYFUNCTION("""COMPUTED_VALUE"""),"TO")</f>
        <v>TO</v>
      </c>
      <c r="E123" s="14" t="str">
        <f>IFERROR(__xludf.DUMMYFUNCTION("""COMPUTED_VALUE"""),"Trinidad")</f>
        <v>Trinidad</v>
      </c>
      <c r="F123" s="16" t="str">
        <f>IFERROR(__xludf.DUMMYFUNCTION("""COMPUTED_VALUE"""),"Control Union")</f>
        <v>Control Union</v>
      </c>
    </row>
    <row r="124">
      <c r="A124" s="14" t="str">
        <f>IFERROR(__xludf.DUMMYFUNCTION("""COMPUTED_VALUE"""),"Akın Yavuz Seçgin")</f>
        <v>Akın Yavuz Seçgin</v>
      </c>
      <c r="B124" s="14" t="str">
        <f>IFERROR(__xludf.DUMMYFUNCTION("""COMPUTED_VALUE"""),"2023-AT-C095")</f>
        <v>2023-AT-C095</v>
      </c>
      <c r="C124" s="17">
        <f>IFERROR(__xludf.DUMMYFUNCTION("""COMPUTED_VALUE"""),45043.0)</f>
        <v>45043</v>
      </c>
      <c r="D124" s="14" t="str">
        <f>IFERROR(__xludf.DUMMYFUNCTION("""COMPUTED_VALUE"""),"H")</f>
        <v>H</v>
      </c>
      <c r="E124" s="14" t="str">
        <f>IFERROR(__xludf.DUMMYFUNCTION("""COMPUTED_VALUE"""),"Turkiye")</f>
        <v>Turkiye</v>
      </c>
      <c r="F124" s="16" t="str">
        <f>IFERROR(__xludf.DUMMYFUNCTION("""COMPUTED_VALUE"""),"ISOQAR Türkiye")</f>
        <v>ISOQAR Türkiye</v>
      </c>
    </row>
    <row r="125">
      <c r="A125" s="14" t="str">
        <f>IFERROR(__xludf.DUMMYFUNCTION("""COMPUTED_VALUE"""),"Orhan Özsezer")</f>
        <v>Orhan Özsezer</v>
      </c>
      <c r="B125" s="14" t="str">
        <f>IFERROR(__xludf.DUMMYFUNCTION("""COMPUTED_VALUE"""),"2023-AT-C096")</f>
        <v>2023-AT-C096</v>
      </c>
      <c r="C125" s="17">
        <f>IFERROR(__xludf.DUMMYFUNCTION("""COMPUTED_VALUE"""),45043.0)</f>
        <v>45043</v>
      </c>
      <c r="D125" s="14" t="str">
        <f>IFERROR(__xludf.DUMMYFUNCTION("""COMPUTED_VALUE"""),"H")</f>
        <v>H</v>
      </c>
      <c r="E125" s="14" t="str">
        <f>IFERROR(__xludf.DUMMYFUNCTION("""COMPUTED_VALUE"""),"Turkiye")</f>
        <v>Turkiye</v>
      </c>
      <c r="F125" s="16" t="str">
        <f>IFERROR(__xludf.DUMMYFUNCTION("""COMPUTED_VALUE"""),"ISOQAR Türkiye")</f>
        <v>ISOQAR Türkiye</v>
      </c>
    </row>
    <row r="126">
      <c r="A126" s="14" t="str">
        <f>IFERROR(__xludf.DUMMYFUNCTION("""COMPUTED_VALUE"""),"Yahya Emin Demirci")</f>
        <v>Yahya Emin Demirci</v>
      </c>
      <c r="B126" s="14" t="str">
        <f>IFERROR(__xludf.DUMMYFUNCTION("""COMPUTED_VALUE"""),"2023-AT-C097")</f>
        <v>2023-AT-C097</v>
      </c>
      <c r="C126" s="17">
        <f>IFERROR(__xludf.DUMMYFUNCTION("""COMPUTED_VALUE"""),45049.0)</f>
        <v>45049</v>
      </c>
      <c r="D126" s="14" t="str">
        <f>IFERROR(__xludf.DUMMYFUNCTION("""COMPUTED_VALUE"""),"H")</f>
        <v>H</v>
      </c>
      <c r="E126" s="14" t="str">
        <f>IFERROR(__xludf.DUMMYFUNCTION("""COMPUTED_VALUE"""),"Turkiye")</f>
        <v>Turkiye</v>
      </c>
      <c r="F126" s="16" t="str">
        <f>IFERROR(__xludf.DUMMYFUNCTION("""COMPUTED_VALUE"""),"AGFO Teknik Kontrol ve Belgelendirme Hiz. Ltd. Şti.")</f>
        <v>AGFO Teknik Kontrol ve Belgelendirme Hiz. Ltd. Şti.</v>
      </c>
    </row>
    <row r="127">
      <c r="A127" s="14" t="str">
        <f>IFERROR(__xludf.DUMMYFUNCTION("""COMPUTED_VALUE"""),"CHRİSTOS MARKOPOULOS")</f>
        <v>CHRİSTOS MARKOPOULOS</v>
      </c>
      <c r="B127" s="14" t="str">
        <f>IFERROR(__xludf.DUMMYFUNCTION("""COMPUTED_VALUE"""),"2023-AT-C098")</f>
        <v>2023-AT-C098</v>
      </c>
      <c r="C127" s="17">
        <f>IFERROR(__xludf.DUMMYFUNCTION("""COMPUTED_VALUE"""),45085.0)</f>
        <v>45085</v>
      </c>
      <c r="D127" s="14" t="str">
        <f>IFERROR(__xludf.DUMMYFUNCTION("""COMPUTED_VALUE"""),"HTO")</f>
        <v>HTO</v>
      </c>
      <c r="E127" s="14" t="str">
        <f>IFERROR(__xludf.DUMMYFUNCTION("""COMPUTED_VALUE"""),"Turkiye")</f>
        <v>Turkiye</v>
      </c>
      <c r="F127" s="16" t="str">
        <f>IFERROR(__xludf.DUMMYFUNCTION("""COMPUTED_VALUE"""),"ROYALCERT")</f>
        <v>ROYALCERT</v>
      </c>
    </row>
    <row r="128">
      <c r="A128" s="14" t="str">
        <f>IFERROR(__xludf.DUMMYFUNCTION("""COMPUTED_VALUE"""),"ÖMER FARUK FATSA")</f>
        <v>ÖMER FARUK FATSA</v>
      </c>
      <c r="B128" s="14" t="str">
        <f>IFERROR(__xludf.DUMMYFUNCTION("""COMPUTED_VALUE"""),"2023-AT-C099")</f>
        <v>2023-AT-C099</v>
      </c>
      <c r="C128" s="17">
        <f>IFERROR(__xludf.DUMMYFUNCTION("""COMPUTED_VALUE"""),45085.0)</f>
        <v>45085</v>
      </c>
      <c r="D128" s="14" t="str">
        <f>IFERROR(__xludf.DUMMYFUNCTION("""COMPUTED_VALUE"""),"H")</f>
        <v>H</v>
      </c>
      <c r="E128" s="14" t="str">
        <f>IFERROR(__xludf.DUMMYFUNCTION("""COMPUTED_VALUE"""),"Turkiye")</f>
        <v>Turkiye</v>
      </c>
      <c r="F128" s="16" t="str">
        <f>IFERROR(__xludf.DUMMYFUNCTION("""COMPUTED_VALUE"""),"ROYALCERT")</f>
        <v>ROYALCERT</v>
      </c>
    </row>
    <row r="129">
      <c r="A129" s="14" t="str">
        <f>IFERROR(__xludf.DUMMYFUNCTION("""COMPUTED_VALUE"""),"Adnan Albayrak")</f>
        <v>Adnan Albayrak</v>
      </c>
      <c r="B129" s="14" t="str">
        <f>IFERROR(__xludf.DUMMYFUNCTION("""COMPUTED_VALUE"""),"2023-AT-C100")</f>
        <v>2023-AT-C100</v>
      </c>
      <c r="C129" s="17">
        <f>IFERROR(__xludf.DUMMYFUNCTION("""COMPUTED_VALUE"""),45085.0)</f>
        <v>45085</v>
      </c>
      <c r="D129" s="14" t="str">
        <f>IFERROR(__xludf.DUMMYFUNCTION("""COMPUTED_VALUE"""),"H")</f>
        <v>H</v>
      </c>
      <c r="E129" s="14"/>
      <c r="F129" s="16" t="str">
        <f>IFERROR(__xludf.DUMMYFUNCTION("""COMPUTED_VALUE"""),"CTR Uygunluk Değerlendirme Ltd. Şti.")</f>
        <v>CTR Uygunluk Değerlendirme Ltd. Şti.</v>
      </c>
    </row>
    <row r="130">
      <c r="A130" s="14" t="str">
        <f>IFERROR(__xludf.DUMMYFUNCTION("""COMPUTED_VALUE"""),"AYSEL CALAGAN")</f>
        <v>AYSEL CALAGAN</v>
      </c>
      <c r="B130" s="14" t="str">
        <f>IFERROR(__xludf.DUMMYFUNCTION("""COMPUTED_VALUE"""),"2023-AT-C101")</f>
        <v>2023-AT-C101</v>
      </c>
      <c r="C130" s="17">
        <f>IFERROR(__xludf.DUMMYFUNCTION("""COMPUTED_VALUE"""),45085.0)</f>
        <v>45085</v>
      </c>
      <c r="D130" s="14" t="str">
        <f>IFERROR(__xludf.DUMMYFUNCTION("""COMPUTED_VALUE"""),"H")</f>
        <v>H</v>
      </c>
      <c r="E130" s="14" t="str">
        <f>IFERROR(__xludf.DUMMYFUNCTION("""COMPUTED_VALUE"""),"Turkiye")</f>
        <v>Turkiye</v>
      </c>
      <c r="F130" s="16" t="str">
        <f>IFERROR(__xludf.DUMMYFUNCTION("""COMPUTED_VALUE"""),"ROYALCERT")</f>
        <v>ROYALCERT</v>
      </c>
    </row>
    <row r="131">
      <c r="A131" s="14" t="str">
        <f>IFERROR(__xludf.DUMMYFUNCTION("""COMPUTED_VALUE"""),"Xinran Yu")</f>
        <v>Xinran Yu</v>
      </c>
      <c r="B131" s="14" t="str">
        <f>IFERROR(__xludf.DUMMYFUNCTION("""COMPUTED_VALUE"""),"2023-AT-C102")</f>
        <v>2023-AT-C102</v>
      </c>
      <c r="C131" s="17">
        <f>IFERROR(__xludf.DUMMYFUNCTION("""COMPUTED_VALUE"""),45085.0)</f>
        <v>45085</v>
      </c>
      <c r="D131" s="14" t="str">
        <f>IFERROR(__xludf.DUMMYFUNCTION("""COMPUTED_VALUE"""),"H")</f>
        <v>H</v>
      </c>
      <c r="E131" s="14" t="str">
        <f>IFERROR(__xludf.DUMMYFUNCTION("""COMPUTED_VALUE"""),"Singapore")</f>
        <v>Singapore</v>
      </c>
      <c r="F131" s="16" t="str">
        <f>IFERROR(__xludf.DUMMYFUNCTION("""COMPUTED_VALUE"""),"Bureau Veritas")</f>
        <v>Bureau Veritas</v>
      </c>
    </row>
    <row r="132">
      <c r="A132" s="14" t="str">
        <f>IFERROR(__xludf.DUMMYFUNCTION("""COMPUTED_VALUE"""),"Ali Algassim")</f>
        <v>Ali Algassim</v>
      </c>
      <c r="B132" s="14" t="str">
        <f>IFERROR(__xludf.DUMMYFUNCTION("""COMPUTED_VALUE"""),"2023-AT-C103")</f>
        <v>2023-AT-C103</v>
      </c>
      <c r="C132" s="17">
        <f>IFERROR(__xludf.DUMMYFUNCTION("""COMPUTED_VALUE"""),45097.0)</f>
        <v>45097</v>
      </c>
      <c r="D132" s="14" t="str">
        <f>IFERROR(__xludf.DUMMYFUNCTION("""COMPUTED_VALUE"""),"H")</f>
        <v>H</v>
      </c>
      <c r="E132" s="14" t="str">
        <f>IFERROR(__xludf.DUMMYFUNCTION("""COMPUTED_VALUE"""),"Saudi Arabia")</f>
        <v>Saudi Arabia</v>
      </c>
      <c r="F132" s="16" t="str">
        <f>IFERROR(__xludf.DUMMYFUNCTION("""COMPUTED_VALUE"""),"Umm AlQura University")</f>
        <v>Umm AlQura University</v>
      </c>
    </row>
    <row r="133">
      <c r="A133" s="14" t="str">
        <f>IFERROR(__xludf.DUMMYFUNCTION("""COMPUTED_VALUE"""),"Nikolai Stashkevich")</f>
        <v>Nikolai Stashkevich</v>
      </c>
      <c r="B133" s="14" t="str">
        <f>IFERROR(__xludf.DUMMYFUNCTION("""COMPUTED_VALUE"""),"2023-AT-C104")</f>
        <v>2023-AT-C104</v>
      </c>
      <c r="C133" s="17">
        <f>IFERROR(__xludf.DUMMYFUNCTION("""COMPUTED_VALUE"""),45103.0)</f>
        <v>45103</v>
      </c>
      <c r="D133" s="14" t="str">
        <f>IFERROR(__xludf.DUMMYFUNCTION("""COMPUTED_VALUE"""),"H")</f>
        <v>H</v>
      </c>
      <c r="E133" s="14" t="str">
        <f>IFERROR(__xludf.DUMMYFUNCTION("""COMPUTED_VALUE"""),"Russian Federation")</f>
        <v>Russian Federation</v>
      </c>
      <c r="F133" s="16" t="str">
        <f>IFERROR(__xludf.DUMMYFUNCTION("""COMPUTED_VALUE"""),"UCSL United Certification Systems Limited")</f>
        <v>UCSL United Certification Systems Limited</v>
      </c>
    </row>
    <row r="134">
      <c r="A134" s="14" t="str">
        <f>IFERROR(__xludf.DUMMYFUNCTION("""COMPUTED_VALUE"""),"Hemant Sudhakarrao Soitkar")</f>
        <v>Hemant Sudhakarrao Soitkar</v>
      </c>
      <c r="B134" s="14" t="str">
        <f>IFERROR(__xludf.DUMMYFUNCTION("""COMPUTED_VALUE"""),"2023-AT-C105")</f>
        <v>2023-AT-C105</v>
      </c>
      <c r="C134" s="17">
        <f>IFERROR(__xludf.DUMMYFUNCTION("""COMPUTED_VALUE"""),45112.0)</f>
        <v>45112</v>
      </c>
      <c r="D134" s="14" t="str">
        <f>IFERROR(__xludf.DUMMYFUNCTION("""COMPUTED_VALUE"""),"H")</f>
        <v>H</v>
      </c>
      <c r="E134" s="14" t="str">
        <f>IFERROR(__xludf.DUMMYFUNCTION("""COMPUTED_VALUE"""),"Singapore")</f>
        <v>Singapore</v>
      </c>
      <c r="F134" s="16" t="str">
        <f>IFERROR(__xludf.DUMMYFUNCTION("""COMPUTED_VALUE"""),"Bureau Veritas")</f>
        <v>Bureau Veritas</v>
      </c>
    </row>
    <row r="135">
      <c r="A135" s="14" t="str">
        <f>IFERROR(__xludf.DUMMYFUNCTION("""COMPUTED_VALUE"""),"Ayça Cilo")</f>
        <v>Ayça Cilo</v>
      </c>
      <c r="B135" s="14" t="str">
        <f>IFERROR(__xludf.DUMMYFUNCTION("""COMPUTED_VALUE"""),"2023-AT-C106")</f>
        <v>2023-AT-C106</v>
      </c>
      <c r="C135" s="17">
        <f>IFERROR(__xludf.DUMMYFUNCTION("""COMPUTED_VALUE"""),45126.0)</f>
        <v>45126</v>
      </c>
      <c r="D135" s="14" t="str">
        <f>IFERROR(__xludf.DUMMYFUNCTION("""COMPUTED_VALUE"""),"H")</f>
        <v>H</v>
      </c>
      <c r="E135" s="14" t="str">
        <f>IFERROR(__xludf.DUMMYFUNCTION("""COMPUTED_VALUE"""),"Turkiye")</f>
        <v>Turkiye</v>
      </c>
      <c r="F135" s="16" t="str">
        <f>IFERROR(__xludf.DUMMYFUNCTION("""COMPUTED_VALUE"""),"FQC Certification")</f>
        <v>FQC Certification</v>
      </c>
    </row>
    <row r="136">
      <c r="A136" s="14" t="str">
        <f>IFERROR(__xludf.DUMMYFUNCTION("""COMPUTED_VALUE"""),"Xinran Yu")</f>
        <v>Xinran Yu</v>
      </c>
      <c r="B136" s="14" t="str">
        <f>IFERROR(__xludf.DUMMYFUNCTION("""COMPUTED_VALUE"""),"2023-AT-C107")</f>
        <v>2023-AT-C107</v>
      </c>
      <c r="C136" s="17">
        <f>IFERROR(__xludf.DUMMYFUNCTION("""COMPUTED_VALUE"""),45126.0)</f>
        <v>45126</v>
      </c>
      <c r="D136" s="14" t="str">
        <f>IFERROR(__xludf.DUMMYFUNCTION("""COMPUTED_VALUE"""),"TO")</f>
        <v>TO</v>
      </c>
      <c r="E136" s="14" t="str">
        <f>IFERROR(__xludf.DUMMYFUNCTION("""COMPUTED_VALUE"""),"Singapore")</f>
        <v>Singapore</v>
      </c>
      <c r="F136" s="16" t="str">
        <f>IFERROR(__xludf.DUMMYFUNCTION("""COMPUTED_VALUE"""),"Bureau Veritas")</f>
        <v>Bureau Veritas</v>
      </c>
    </row>
    <row r="137">
      <c r="A137" s="14" t="str">
        <f>IFERROR(__xludf.DUMMYFUNCTION("""COMPUTED_VALUE"""),"MERT ÇALIŞ")</f>
        <v>MERT ÇALIŞ</v>
      </c>
      <c r="B137" s="14" t="str">
        <f>IFERROR(__xludf.DUMMYFUNCTION("""COMPUTED_VALUE"""),"2023-AT-C108")</f>
        <v>2023-AT-C108</v>
      </c>
      <c r="C137" s="17">
        <f>IFERROR(__xludf.DUMMYFUNCTION("""COMPUTED_VALUE"""),45128.0)</f>
        <v>45128</v>
      </c>
      <c r="D137" s="14" t="str">
        <f>IFERROR(__xludf.DUMMYFUNCTION("""COMPUTED_VALUE"""),"H")</f>
        <v>H</v>
      </c>
      <c r="E137" s="14" t="str">
        <f>IFERROR(__xludf.DUMMYFUNCTION("""COMPUTED_VALUE"""),"Turkiye")</f>
        <v>Turkiye</v>
      </c>
      <c r="F137" s="16" t="str">
        <f>IFERROR(__xludf.DUMMYFUNCTION("""COMPUTED_VALUE"""),"TUV")</f>
        <v>TUV</v>
      </c>
    </row>
    <row r="138">
      <c r="A138" s="14" t="str">
        <f>IFERROR(__xludf.DUMMYFUNCTION("""COMPUTED_VALUE"""),"Sarayoot Siwasirikaroon")</f>
        <v>Sarayoot Siwasirikaroon</v>
      </c>
      <c r="B138" s="14" t="str">
        <f>IFERROR(__xludf.DUMMYFUNCTION("""COMPUTED_VALUE"""),"2023-AT-C109")</f>
        <v>2023-AT-C109</v>
      </c>
      <c r="C138" s="17">
        <f>IFERROR(__xludf.DUMMYFUNCTION("""COMPUTED_VALUE"""),45131.0)</f>
        <v>45131</v>
      </c>
      <c r="D138" s="14" t="str">
        <f>IFERROR(__xludf.DUMMYFUNCTION("""COMPUTED_VALUE"""),"HTO")</f>
        <v>HTO</v>
      </c>
      <c r="E138" s="14" t="str">
        <f>IFERROR(__xludf.DUMMYFUNCTION("""COMPUTED_VALUE"""),"Thailand")</f>
        <v>Thailand</v>
      </c>
      <c r="F138" s="16" t="str">
        <f>IFERROR(__xludf.DUMMYFUNCTION("""COMPUTED_VALUE"""),"Bureau Veritas")</f>
        <v>Bureau Veritas</v>
      </c>
    </row>
    <row r="139">
      <c r="A139" s="14" t="str">
        <f>IFERROR(__xludf.DUMMYFUNCTION("""COMPUTED_VALUE"""),"Ödül ÖZDAMAR")</f>
        <v>Ödül ÖZDAMAR</v>
      </c>
      <c r="B139" s="14" t="str">
        <f>IFERROR(__xludf.DUMMYFUNCTION("""COMPUTED_VALUE"""),"2023-AT-C110")</f>
        <v>2023-AT-C110</v>
      </c>
      <c r="C139" s="17">
        <f>IFERROR(__xludf.DUMMYFUNCTION("""COMPUTED_VALUE"""),45131.0)</f>
        <v>45131</v>
      </c>
      <c r="D139" s="14" t="str">
        <f>IFERROR(__xludf.DUMMYFUNCTION("""COMPUTED_VALUE"""),"H")</f>
        <v>H</v>
      </c>
      <c r="E139" s="14"/>
      <c r="F139" s="16" t="str">
        <f>IFERROR(__xludf.DUMMYFUNCTION("""COMPUTED_VALUE"""),"DiverseyConsulting")</f>
        <v>DiverseyConsulting</v>
      </c>
    </row>
    <row r="140">
      <c r="A140" s="14" t="str">
        <f>IFERROR(__xludf.DUMMYFUNCTION("""COMPUTED_VALUE"""),"ALPER BAYRAM")</f>
        <v>ALPER BAYRAM</v>
      </c>
      <c r="B140" s="14" t="str">
        <f>IFERROR(__xludf.DUMMYFUNCTION("""COMPUTED_VALUE"""),"2023-AT-C111")</f>
        <v>2023-AT-C111</v>
      </c>
      <c r="C140" s="17">
        <f>IFERROR(__xludf.DUMMYFUNCTION("""COMPUTED_VALUE"""),45140.0)</f>
        <v>45140</v>
      </c>
      <c r="D140" s="14" t="str">
        <f>IFERROR(__xludf.DUMMYFUNCTION("""COMPUTED_VALUE"""),"TO")</f>
        <v>TO</v>
      </c>
      <c r="E140" s="14" t="str">
        <f>IFERROR(__xludf.DUMMYFUNCTION("""COMPUTED_VALUE"""),"Turkiye")</f>
        <v>Turkiye</v>
      </c>
      <c r="F140" s="16" t="str">
        <f>IFERROR(__xludf.DUMMYFUNCTION("""COMPUTED_VALUE"""),"ROYALCERT")</f>
        <v>ROYALCERT</v>
      </c>
    </row>
    <row r="141">
      <c r="A141" s="14" t="str">
        <f>IFERROR(__xludf.DUMMYFUNCTION("""COMPUTED_VALUE"""),"MURAT CAN TEZGÖREN")</f>
        <v>MURAT CAN TEZGÖREN</v>
      </c>
      <c r="B141" s="14" t="str">
        <f>IFERROR(__xludf.DUMMYFUNCTION("""COMPUTED_VALUE"""),"2023-AT-C112")</f>
        <v>2023-AT-C112</v>
      </c>
      <c r="C141" s="17">
        <f>IFERROR(__xludf.DUMMYFUNCTION("""COMPUTED_VALUE"""),44965.0)</f>
        <v>44965</v>
      </c>
      <c r="D141" s="14" t="str">
        <f>IFERROR(__xludf.DUMMYFUNCTION("""COMPUTED_VALUE"""),"TO")</f>
        <v>TO</v>
      </c>
      <c r="E141" s="14" t="str">
        <f>IFERROR(__xludf.DUMMYFUNCTION("""COMPUTED_VALUE"""),"Turkiye")</f>
        <v>Turkiye</v>
      </c>
      <c r="F141" s="16" t="str">
        <f>IFERROR(__xludf.DUMMYFUNCTION("""COMPUTED_VALUE"""),"ROYALCERT")</f>
        <v>ROYALCERT</v>
      </c>
    </row>
    <row r="142">
      <c r="A142" s="14" t="str">
        <f>IFERROR(__xludf.DUMMYFUNCTION("""COMPUTED_VALUE"""),"Neliz Çetiner")</f>
        <v>Neliz Çetiner</v>
      </c>
      <c r="B142" s="14" t="str">
        <f>IFERROR(__xludf.DUMMYFUNCTION("""COMPUTED_VALUE"""),"2023-AT-C113")</f>
        <v>2023-AT-C113</v>
      </c>
      <c r="C142" s="17">
        <f>IFERROR(__xludf.DUMMYFUNCTION("""COMPUTED_VALUE"""),44965.0)</f>
        <v>44965</v>
      </c>
      <c r="D142" s="14" t="str">
        <f>IFERROR(__xludf.DUMMYFUNCTION("""COMPUTED_VALUE"""),"TO")</f>
        <v>TO</v>
      </c>
      <c r="E142" s="14" t="str">
        <f>IFERROR(__xludf.DUMMYFUNCTION("""COMPUTED_VALUE"""),"Turkiye")</f>
        <v>Turkiye</v>
      </c>
      <c r="F142" s="16" t="str">
        <f>IFERROR(__xludf.DUMMYFUNCTION("""COMPUTED_VALUE"""),"TGA")</f>
        <v>TGA</v>
      </c>
    </row>
    <row r="143">
      <c r="A143" s="14" t="str">
        <f>IFERROR(__xludf.DUMMYFUNCTION("""COMPUTED_VALUE"""),"ÖZDE NAZ ÖZLÜ")</f>
        <v>ÖZDE NAZ ÖZLÜ</v>
      </c>
      <c r="B143" s="14" t="str">
        <f>IFERROR(__xludf.DUMMYFUNCTION("""COMPUTED_VALUE"""),"2023-AT-C114")</f>
        <v>2023-AT-C114</v>
      </c>
      <c r="C143" s="17">
        <f>IFERROR(__xludf.DUMMYFUNCTION("""COMPUTED_VALUE"""),44965.0)</f>
        <v>44965</v>
      </c>
      <c r="D143" s="14" t="str">
        <f>IFERROR(__xludf.DUMMYFUNCTION("""COMPUTED_VALUE"""),"TO")</f>
        <v>TO</v>
      </c>
      <c r="E143" s="14" t="str">
        <f>IFERROR(__xludf.DUMMYFUNCTION("""COMPUTED_VALUE"""),"Turkiye")</f>
        <v>Turkiye</v>
      </c>
      <c r="F143" s="16" t="str">
        <f>IFERROR(__xludf.DUMMYFUNCTION("""COMPUTED_VALUE"""),"ROYALCERT")</f>
        <v>ROYALCERT</v>
      </c>
    </row>
    <row r="144">
      <c r="A144" s="14" t="str">
        <f>IFERROR(__xludf.DUMMYFUNCTION("""COMPUTED_VALUE"""),"Haibing Zhang")</f>
        <v>Haibing Zhang</v>
      </c>
      <c r="B144" s="14" t="str">
        <f>IFERROR(__xludf.DUMMYFUNCTION("""COMPUTED_VALUE"""),"2023-AT-C115")</f>
        <v>2023-AT-C115</v>
      </c>
      <c r="C144" s="17">
        <f>IFERROR(__xludf.DUMMYFUNCTION("""COMPUTED_VALUE"""),44965.0)</f>
        <v>44965</v>
      </c>
      <c r="D144" s="14" t="str">
        <f>IFERROR(__xludf.DUMMYFUNCTION("""COMPUTED_VALUE"""),"H")</f>
        <v>H</v>
      </c>
      <c r="E144" s="14" t="str">
        <f>IFERROR(__xludf.DUMMYFUNCTION("""COMPUTED_VALUE"""),"China")</f>
        <v>China</v>
      </c>
      <c r="F144" s="16" t="str">
        <f>IFERROR(__xludf.DUMMYFUNCTION("""COMPUTED_VALUE"""),"Bureau Veritas")</f>
        <v>Bureau Veritas</v>
      </c>
    </row>
    <row r="145">
      <c r="A145" s="14" t="str">
        <f>IFERROR(__xludf.DUMMYFUNCTION("""COMPUTED_VALUE"""),"Elif Erdinc Senkal")</f>
        <v>Elif Erdinc Senkal</v>
      </c>
      <c r="B145" s="14" t="str">
        <f>IFERROR(__xludf.DUMMYFUNCTION("""COMPUTED_VALUE"""),"2023-AT-C116")</f>
        <v>2023-AT-C116</v>
      </c>
      <c r="C145" s="17">
        <f>IFERROR(__xludf.DUMMYFUNCTION("""COMPUTED_VALUE"""),44965.0)</f>
        <v>44965</v>
      </c>
      <c r="D145" s="14" t="str">
        <f>IFERROR(__xludf.DUMMYFUNCTION("""COMPUTED_VALUE"""),"TO")</f>
        <v>TO</v>
      </c>
      <c r="E145" s="14" t="str">
        <f>IFERROR(__xludf.DUMMYFUNCTION("""COMPUTED_VALUE"""),"Turkiye")</f>
        <v>Turkiye</v>
      </c>
      <c r="F145" s="16" t="str">
        <f>IFERROR(__xludf.DUMMYFUNCTION("""COMPUTED_VALUE"""),"Self Employed")</f>
        <v>Self Employed</v>
      </c>
    </row>
    <row r="146">
      <c r="A146" s="14" t="str">
        <f>IFERROR(__xludf.DUMMYFUNCTION("""COMPUTED_VALUE"""),"Türkan Sinem Uçar")</f>
        <v>Türkan Sinem Uçar</v>
      </c>
      <c r="B146" s="14" t="str">
        <f>IFERROR(__xludf.DUMMYFUNCTION("""COMPUTED_VALUE"""),"2023-AT-C117")</f>
        <v>2023-AT-C117</v>
      </c>
      <c r="C146" s="17">
        <f>IFERROR(__xludf.DUMMYFUNCTION("""COMPUTED_VALUE"""),44965.0)</f>
        <v>44965</v>
      </c>
      <c r="D146" s="14" t="str">
        <f>IFERROR(__xludf.DUMMYFUNCTION("""COMPUTED_VALUE"""),"TO")</f>
        <v>TO</v>
      </c>
      <c r="E146" s="14" t="str">
        <f>IFERROR(__xludf.DUMMYFUNCTION("""COMPUTED_VALUE"""),"Turkiye")</f>
        <v>Turkiye</v>
      </c>
      <c r="F146" s="16" t="str">
        <f>IFERROR(__xludf.DUMMYFUNCTION("""COMPUTED_VALUE"""),"TGA")</f>
        <v>TGA</v>
      </c>
    </row>
    <row r="147">
      <c r="A147" s="14" t="str">
        <f>IFERROR(__xludf.DUMMYFUNCTION("""COMPUTED_VALUE"""),"Yong Yong, Joan Lee")</f>
        <v>Yong Yong, Joan Lee</v>
      </c>
      <c r="B147" s="14" t="str">
        <f>IFERROR(__xludf.DUMMYFUNCTION("""COMPUTED_VALUE"""),"2023-AT-C118")</f>
        <v>2023-AT-C118</v>
      </c>
      <c r="C147" s="17">
        <f>IFERROR(__xludf.DUMMYFUNCTION("""COMPUTED_VALUE"""),45140.0)</f>
        <v>45140</v>
      </c>
      <c r="D147" s="14" t="str">
        <f>IFERROR(__xludf.DUMMYFUNCTION("""COMPUTED_VALUE"""),"H")</f>
        <v>H</v>
      </c>
      <c r="E147" s="14" t="str">
        <f>IFERROR(__xludf.DUMMYFUNCTION("""COMPUTED_VALUE"""),"Singapore")</f>
        <v>Singapore</v>
      </c>
      <c r="F147" s="16" t="str">
        <f>IFERROR(__xludf.DUMMYFUNCTION("""COMPUTED_VALUE"""),"Bureau Veritas")</f>
        <v>Bureau Veritas</v>
      </c>
    </row>
    <row r="148">
      <c r="A148" s="14" t="str">
        <f>IFERROR(__xludf.DUMMYFUNCTION("""COMPUTED_VALUE"""),"Mehmet Can İnce")</f>
        <v>Mehmet Can İnce</v>
      </c>
      <c r="B148" s="14" t="str">
        <f>IFERROR(__xludf.DUMMYFUNCTION("""COMPUTED_VALUE"""),"2023-AT-C119")</f>
        <v>2023-AT-C119</v>
      </c>
      <c r="C148" s="17">
        <f>IFERROR(__xludf.DUMMYFUNCTION("""COMPUTED_VALUE"""),45142.0)</f>
        <v>45142</v>
      </c>
      <c r="D148" s="14" t="str">
        <f>IFERROR(__xludf.DUMMYFUNCTION("""COMPUTED_VALUE"""),"H")</f>
        <v>H</v>
      </c>
      <c r="E148" s="14" t="str">
        <f>IFERROR(__xludf.DUMMYFUNCTION("""COMPUTED_VALUE"""),"Turkiye")</f>
        <v>Turkiye</v>
      </c>
      <c r="F148" s="16" t="str">
        <f>IFERROR(__xludf.DUMMYFUNCTION("""COMPUTED_VALUE"""),"DiverseyConsulting")</f>
        <v>DiverseyConsulting</v>
      </c>
    </row>
    <row r="149">
      <c r="A149" s="14" t="str">
        <f>IFERROR(__xludf.DUMMYFUNCTION("""COMPUTED_VALUE"""),"Özgür Mert AKÇAM")</f>
        <v>Özgür Mert AKÇAM</v>
      </c>
      <c r="B149" s="14" t="str">
        <f>IFERROR(__xludf.DUMMYFUNCTION("""COMPUTED_VALUE"""),"2023-AT-C120")</f>
        <v>2023-AT-C120</v>
      </c>
      <c r="C149" s="17">
        <f>IFERROR(__xludf.DUMMYFUNCTION("""COMPUTED_VALUE"""),45142.0)</f>
        <v>45142</v>
      </c>
      <c r="D149" s="14" t="str">
        <f>IFERROR(__xludf.DUMMYFUNCTION("""COMPUTED_VALUE"""),"H")</f>
        <v>H</v>
      </c>
      <c r="E149" s="14"/>
      <c r="F149" s="16" t="str">
        <f>IFERROR(__xludf.DUMMYFUNCTION("""COMPUTED_VALUE"""),"DiverseyConsulting")</f>
        <v>DiverseyConsulting</v>
      </c>
    </row>
    <row r="150">
      <c r="A150" s="14" t="str">
        <f>IFERROR(__xludf.DUMMYFUNCTION("""COMPUTED_VALUE"""),"Yusuf CELIK")</f>
        <v>Yusuf CELIK</v>
      </c>
      <c r="B150" s="14" t="str">
        <f>IFERROR(__xludf.DUMMYFUNCTION("""COMPUTED_VALUE"""),"2023-AT-C121")</f>
        <v>2023-AT-C121</v>
      </c>
      <c r="C150" s="17">
        <f>IFERROR(__xludf.DUMMYFUNCTION("""COMPUTED_VALUE"""),45145.0)</f>
        <v>45145</v>
      </c>
      <c r="D150" s="14" t="str">
        <f>IFERROR(__xludf.DUMMYFUNCTION("""COMPUTED_VALUE"""),"H")</f>
        <v>H</v>
      </c>
      <c r="E150" s="14" t="str">
        <f>IFERROR(__xludf.DUMMYFUNCTION("""COMPUTED_VALUE"""),"Turkiye")</f>
        <v>Turkiye</v>
      </c>
      <c r="F150" s="16" t="str">
        <f>IFERROR(__xludf.DUMMYFUNCTION("""COMPUTED_VALUE"""),"Utku Mühendislik Danışmanlık Sanayi Ticaret Limited Şirketi")</f>
        <v>Utku Mühendislik Danışmanlık Sanayi Ticaret Limited Şirketi</v>
      </c>
    </row>
    <row r="151">
      <c r="A151" s="14" t="str">
        <f>IFERROR(__xludf.DUMMYFUNCTION("""COMPUTED_VALUE"""),"Aline van der Meulen")</f>
        <v>Aline van der Meulen</v>
      </c>
      <c r="B151" s="14" t="str">
        <f>IFERROR(__xludf.DUMMYFUNCTION("""COMPUTED_VALUE"""),"2023-AT-C122")</f>
        <v>2023-AT-C122</v>
      </c>
      <c r="C151" s="17">
        <f>IFERROR(__xludf.DUMMYFUNCTION("""COMPUTED_VALUE"""),45158.0)</f>
        <v>45158</v>
      </c>
      <c r="D151" s="14" t="str">
        <f>IFERROR(__xludf.DUMMYFUNCTION("""COMPUTED_VALUE"""),"H")</f>
        <v>H</v>
      </c>
      <c r="E151" s="14" t="str">
        <f>IFERROR(__xludf.DUMMYFUNCTION("""COMPUTED_VALUE"""),"Sri Lanka")</f>
        <v>Sri Lanka</v>
      </c>
      <c r="F151" s="16" t="str">
        <f>IFERROR(__xludf.DUMMYFUNCTION("""COMPUTED_VALUE"""),"Travelife")</f>
        <v>Travelife</v>
      </c>
    </row>
    <row r="152">
      <c r="A152" s="14" t="str">
        <f>IFERROR(__xludf.DUMMYFUNCTION("""COMPUTED_VALUE"""),"Rahm Garas")</f>
        <v>Rahm Garas</v>
      </c>
      <c r="B152" s="14" t="str">
        <f>IFERROR(__xludf.DUMMYFUNCTION("""COMPUTED_VALUE"""),"2023-AT-C123")</f>
        <v>2023-AT-C123</v>
      </c>
      <c r="C152" s="17">
        <f>IFERROR(__xludf.DUMMYFUNCTION("""COMPUTED_VALUE"""),45158.0)</f>
        <v>45158</v>
      </c>
      <c r="D152" s="14" t="str">
        <f>IFERROR(__xludf.DUMMYFUNCTION("""COMPUTED_VALUE"""),"H")</f>
        <v>H</v>
      </c>
      <c r="E152" s="14"/>
      <c r="F152" s="16" t="str">
        <f>IFERROR(__xludf.DUMMYFUNCTION("""COMPUTED_VALUE"""),"Travelife")</f>
        <v>Travelife</v>
      </c>
    </row>
    <row r="153">
      <c r="A153" s="14" t="str">
        <f>IFERROR(__xludf.DUMMYFUNCTION("""COMPUTED_VALUE"""),"Blanca Foix Salló")</f>
        <v>Blanca Foix Salló</v>
      </c>
      <c r="B153" s="14" t="str">
        <f>IFERROR(__xludf.DUMMYFUNCTION("""COMPUTED_VALUE"""),"2023-AT-C124")</f>
        <v>2023-AT-C124</v>
      </c>
      <c r="C153" s="17">
        <f>IFERROR(__xludf.DUMMYFUNCTION("""COMPUTED_VALUE"""),45158.0)</f>
        <v>45158</v>
      </c>
      <c r="D153" s="14" t="str">
        <f>IFERROR(__xludf.DUMMYFUNCTION("""COMPUTED_VALUE"""),"H")</f>
        <v>H</v>
      </c>
      <c r="E153" s="14" t="str">
        <f>IFERROR(__xludf.DUMMYFUNCTION("""COMPUTED_VALUE"""),"Spain")</f>
        <v>Spain</v>
      </c>
      <c r="F153" s="16" t="str">
        <f>IFERROR(__xludf.DUMMYFUNCTION("""COMPUTED_VALUE"""),"Travelife")</f>
        <v>Travelife</v>
      </c>
    </row>
    <row r="154">
      <c r="A154" s="14" t="str">
        <f>IFERROR(__xludf.DUMMYFUNCTION("""COMPUTED_VALUE"""),"Paola Oliver-Serret")</f>
        <v>Paola Oliver-Serret</v>
      </c>
      <c r="B154" s="14" t="str">
        <f>IFERROR(__xludf.DUMMYFUNCTION("""COMPUTED_VALUE"""),"2023-AT-C125")</f>
        <v>2023-AT-C125</v>
      </c>
      <c r="C154" s="17">
        <f>IFERROR(__xludf.DUMMYFUNCTION("""COMPUTED_VALUE"""),45158.0)</f>
        <v>45158</v>
      </c>
      <c r="D154" s="14" t="str">
        <f>IFERROR(__xludf.DUMMYFUNCTION("""COMPUTED_VALUE"""),"H")</f>
        <v>H</v>
      </c>
      <c r="E154" s="14" t="str">
        <f>IFERROR(__xludf.DUMMYFUNCTION("""COMPUTED_VALUE"""),"Spain")</f>
        <v>Spain</v>
      </c>
      <c r="F154" s="16" t="str">
        <f>IFERROR(__xludf.DUMMYFUNCTION("""COMPUTED_VALUE"""),"Travelife")</f>
        <v>Travelife</v>
      </c>
    </row>
    <row r="155">
      <c r="A155" s="14" t="str">
        <f>IFERROR(__xludf.DUMMYFUNCTION("""COMPUTED_VALUE"""),"David Ortegon Martinez")</f>
        <v>David Ortegon Martinez</v>
      </c>
      <c r="B155" s="14" t="str">
        <f>IFERROR(__xludf.DUMMYFUNCTION("""COMPUTED_VALUE"""),"2023-AT-C126")</f>
        <v>2023-AT-C126</v>
      </c>
      <c r="C155" s="17">
        <f>IFERROR(__xludf.DUMMYFUNCTION("""COMPUTED_VALUE"""),45158.0)</f>
        <v>45158</v>
      </c>
      <c r="D155" s="14" t="str">
        <f>IFERROR(__xludf.DUMMYFUNCTION("""COMPUTED_VALUE"""),"H")</f>
        <v>H</v>
      </c>
      <c r="E155" s="14" t="str">
        <f>IFERROR(__xludf.DUMMYFUNCTION("""COMPUTED_VALUE"""),"Mexico")</f>
        <v>Mexico</v>
      </c>
      <c r="F155" s="16" t="str">
        <f>IFERROR(__xludf.DUMMYFUNCTION("""COMPUTED_VALUE"""),"Travelife")</f>
        <v>Travelife</v>
      </c>
    </row>
    <row r="156">
      <c r="A156" s="14" t="str">
        <f>IFERROR(__xludf.DUMMYFUNCTION("""COMPUTED_VALUE"""),"Charmaine Sealey")</f>
        <v>Charmaine Sealey</v>
      </c>
      <c r="B156" s="14" t="str">
        <f>IFERROR(__xludf.DUMMYFUNCTION("""COMPUTED_VALUE"""),"2023-AT-C127")</f>
        <v>2023-AT-C127</v>
      </c>
      <c r="C156" s="17">
        <f>IFERROR(__xludf.DUMMYFUNCTION("""COMPUTED_VALUE"""),45158.0)</f>
        <v>45158</v>
      </c>
      <c r="D156" s="14" t="str">
        <f>IFERROR(__xludf.DUMMYFUNCTION("""COMPUTED_VALUE"""),"H")</f>
        <v>H</v>
      </c>
      <c r="E156" s="14" t="str">
        <f>IFERROR(__xludf.DUMMYFUNCTION("""COMPUTED_VALUE"""),"Barbados")</f>
        <v>Barbados</v>
      </c>
      <c r="F156" s="16" t="str">
        <f>IFERROR(__xludf.DUMMYFUNCTION("""COMPUTED_VALUE"""),"Travelife")</f>
        <v>Travelife</v>
      </c>
    </row>
    <row r="157">
      <c r="A157" s="14" t="str">
        <f>IFERROR(__xludf.DUMMYFUNCTION("""COMPUTED_VALUE"""),"SOTIRIS MILONAS")</f>
        <v>SOTIRIS MILONAS</v>
      </c>
      <c r="B157" s="14" t="str">
        <f>IFERROR(__xludf.DUMMYFUNCTION("""COMPUTED_VALUE"""),"2023-AT-C128")</f>
        <v>2023-AT-C128</v>
      </c>
      <c r="C157" s="17">
        <f>IFERROR(__xludf.DUMMYFUNCTION("""COMPUTED_VALUE"""),45158.0)</f>
        <v>45158</v>
      </c>
      <c r="D157" s="14" t="str">
        <f>IFERROR(__xludf.DUMMYFUNCTION("""COMPUTED_VALUE"""),"H")</f>
        <v>H</v>
      </c>
      <c r="E157" s="14" t="str">
        <f>IFERROR(__xludf.DUMMYFUNCTION("""COMPUTED_VALUE"""),"Greece")</f>
        <v>Greece</v>
      </c>
      <c r="F157" s="16" t="str">
        <f>IFERROR(__xludf.DUMMYFUNCTION("""COMPUTED_VALUE"""),"Travelife")</f>
        <v>Travelife</v>
      </c>
    </row>
    <row r="158">
      <c r="A158" s="14" t="str">
        <f>IFERROR(__xludf.DUMMYFUNCTION("""COMPUTED_VALUE"""),"Angelique Tonnaer")</f>
        <v>Angelique Tonnaer</v>
      </c>
      <c r="B158" s="14" t="str">
        <f>IFERROR(__xludf.DUMMYFUNCTION("""COMPUTED_VALUE"""),"2023-AT-C129")</f>
        <v>2023-AT-C129</v>
      </c>
      <c r="C158" s="17">
        <f>IFERROR(__xludf.DUMMYFUNCTION("""COMPUTED_VALUE"""),45158.0)</f>
        <v>45158</v>
      </c>
      <c r="D158" s="14" t="str">
        <f>IFERROR(__xludf.DUMMYFUNCTION("""COMPUTED_VALUE"""),"H")</f>
        <v>H</v>
      </c>
      <c r="E158" s="14" t="str">
        <f>IFERROR(__xludf.DUMMYFUNCTION("""COMPUTED_VALUE"""),"Netherlands")</f>
        <v>Netherlands</v>
      </c>
      <c r="F158" s="16" t="str">
        <f>IFERROR(__xludf.DUMMYFUNCTION("""COMPUTED_VALUE"""),"Travelife")</f>
        <v>Travelife</v>
      </c>
    </row>
    <row r="159">
      <c r="A159" s="14" t="str">
        <f>IFERROR(__xludf.DUMMYFUNCTION("""COMPUTED_VALUE"""),"SPYROS RAYIAS")</f>
        <v>SPYROS RAYIAS</v>
      </c>
      <c r="B159" s="14" t="str">
        <f>IFERROR(__xludf.DUMMYFUNCTION("""COMPUTED_VALUE"""),"2023-AT-C130")</f>
        <v>2023-AT-C130</v>
      </c>
      <c r="C159" s="17">
        <f>IFERROR(__xludf.DUMMYFUNCTION("""COMPUTED_VALUE"""),45158.0)</f>
        <v>45158</v>
      </c>
      <c r="D159" s="14" t="str">
        <f>IFERROR(__xludf.DUMMYFUNCTION("""COMPUTED_VALUE"""),"H")</f>
        <v>H</v>
      </c>
      <c r="E159" s="14" t="str">
        <f>IFERROR(__xludf.DUMMYFUNCTION("""COMPUTED_VALUE"""),"Cyprus")</f>
        <v>Cyprus</v>
      </c>
      <c r="F159" s="16" t="str">
        <f>IFERROR(__xludf.DUMMYFUNCTION("""COMPUTED_VALUE"""),"Travelife")</f>
        <v>Travelife</v>
      </c>
    </row>
    <row r="160">
      <c r="A160" s="14" t="str">
        <f>IFERROR(__xludf.DUMMYFUNCTION("""COMPUTED_VALUE"""),"Bernd Singendonk")</f>
        <v>Bernd Singendonk</v>
      </c>
      <c r="B160" s="14" t="str">
        <f>IFERROR(__xludf.DUMMYFUNCTION("""COMPUTED_VALUE"""),"2023-AT-C131")</f>
        <v>2023-AT-C131</v>
      </c>
      <c r="C160" s="17">
        <f>IFERROR(__xludf.DUMMYFUNCTION("""COMPUTED_VALUE"""),45158.0)</f>
        <v>45158</v>
      </c>
      <c r="D160" s="14" t="str">
        <f>IFERROR(__xludf.DUMMYFUNCTION("""COMPUTED_VALUE"""),"H")</f>
        <v>H</v>
      </c>
      <c r="E160" s="14" t="str">
        <f>IFERROR(__xludf.DUMMYFUNCTION("""COMPUTED_VALUE"""),"Germany")</f>
        <v>Germany</v>
      </c>
      <c r="F160" s="16" t="str">
        <f>IFERROR(__xludf.DUMMYFUNCTION("""COMPUTED_VALUE"""),"Travelife")</f>
        <v>Travelife</v>
      </c>
    </row>
    <row r="161">
      <c r="A161" s="14" t="str">
        <f>IFERROR(__xludf.DUMMYFUNCTION("""COMPUTED_VALUE"""),"Jo Hendrickx")</f>
        <v>Jo Hendrickx</v>
      </c>
      <c r="B161" s="14" t="str">
        <f>IFERROR(__xludf.DUMMYFUNCTION("""COMPUTED_VALUE"""),"2023-AT-C132")</f>
        <v>2023-AT-C132</v>
      </c>
      <c r="C161" s="17">
        <f>IFERROR(__xludf.DUMMYFUNCTION("""COMPUTED_VALUE"""),45158.0)</f>
        <v>45158</v>
      </c>
      <c r="D161" s="14" t="str">
        <f>IFERROR(__xludf.DUMMYFUNCTION("""COMPUTED_VALUE"""),"H")</f>
        <v>H</v>
      </c>
      <c r="E161" s="14" t="str">
        <f>IFERROR(__xludf.DUMMYFUNCTION("""COMPUTED_VALUE"""),"Spain")</f>
        <v>Spain</v>
      </c>
      <c r="F161" s="16" t="str">
        <f>IFERROR(__xludf.DUMMYFUNCTION("""COMPUTED_VALUE"""),"Travelife")</f>
        <v>Travelife</v>
      </c>
    </row>
    <row r="162">
      <c r="A162" s="14" t="str">
        <f>IFERROR(__xludf.DUMMYFUNCTION("""COMPUTED_VALUE"""),"Ivan Vukoje")</f>
        <v>Ivan Vukoje</v>
      </c>
      <c r="B162" s="14" t="str">
        <f>IFERROR(__xludf.DUMMYFUNCTION("""COMPUTED_VALUE"""),"2023-AT-C133")</f>
        <v>2023-AT-C133</v>
      </c>
      <c r="C162" s="17">
        <f>IFERROR(__xludf.DUMMYFUNCTION("""COMPUTED_VALUE"""),45158.0)</f>
        <v>45158</v>
      </c>
      <c r="D162" s="14" t="str">
        <f>IFERROR(__xludf.DUMMYFUNCTION("""COMPUTED_VALUE"""),"H")</f>
        <v>H</v>
      </c>
      <c r="E162" s="14" t="str">
        <f>IFERROR(__xludf.DUMMYFUNCTION("""COMPUTED_VALUE"""),"Serbia / Croatia")</f>
        <v>Serbia / Croatia</v>
      </c>
      <c r="F162" s="16" t="str">
        <f>IFERROR(__xludf.DUMMYFUNCTION("""COMPUTED_VALUE"""),"Travelife")</f>
        <v>Travelife</v>
      </c>
    </row>
    <row r="163">
      <c r="A163" s="14" t="str">
        <f>IFERROR(__xludf.DUMMYFUNCTION("""COMPUTED_VALUE"""),"Julius Majaliwa")</f>
        <v>Julius Majaliwa</v>
      </c>
      <c r="B163" s="14" t="str">
        <f>IFERROR(__xludf.DUMMYFUNCTION("""COMPUTED_VALUE"""),"2023-AT-C134")</f>
        <v>2023-AT-C134</v>
      </c>
      <c r="C163" s="17">
        <f>IFERROR(__xludf.DUMMYFUNCTION("""COMPUTED_VALUE"""),45158.0)</f>
        <v>45158</v>
      </c>
      <c r="D163" s="14" t="str">
        <f>IFERROR(__xludf.DUMMYFUNCTION("""COMPUTED_VALUE"""),"H")</f>
        <v>H</v>
      </c>
      <c r="E163" s="14" t="str">
        <f>IFERROR(__xludf.DUMMYFUNCTION("""COMPUTED_VALUE"""),"Tanzania")</f>
        <v>Tanzania</v>
      </c>
      <c r="F163" s="16" t="str">
        <f>IFERROR(__xludf.DUMMYFUNCTION("""COMPUTED_VALUE"""),"Travelife")</f>
        <v>Travelife</v>
      </c>
    </row>
    <row r="164">
      <c r="A164" s="14" t="str">
        <f>IFERROR(__xludf.DUMMYFUNCTION("""COMPUTED_VALUE"""),"Chantel van Gent")</f>
        <v>Chantel van Gent</v>
      </c>
      <c r="B164" s="14" t="str">
        <f>IFERROR(__xludf.DUMMYFUNCTION("""COMPUTED_VALUE"""),"2023-AT-C135")</f>
        <v>2023-AT-C135</v>
      </c>
      <c r="C164" s="17">
        <f>IFERROR(__xludf.DUMMYFUNCTION("""COMPUTED_VALUE"""),45158.0)</f>
        <v>45158</v>
      </c>
      <c r="D164" s="14" t="str">
        <f>IFERROR(__xludf.DUMMYFUNCTION("""COMPUTED_VALUE"""),"H")</f>
        <v>H</v>
      </c>
      <c r="E164" s="14" t="str">
        <f>IFERROR(__xludf.DUMMYFUNCTION("""COMPUTED_VALUE"""),"Netherlands")</f>
        <v>Netherlands</v>
      </c>
      <c r="F164" s="16" t="str">
        <f>IFERROR(__xludf.DUMMYFUNCTION("""COMPUTED_VALUE"""),"Travelife")</f>
        <v>Travelife</v>
      </c>
    </row>
    <row r="165">
      <c r="A165" s="14" t="str">
        <f>IFERROR(__xludf.DUMMYFUNCTION("""COMPUTED_VALUE"""),"Anastasia Mexa")</f>
        <v>Anastasia Mexa</v>
      </c>
      <c r="B165" s="14" t="str">
        <f>IFERROR(__xludf.DUMMYFUNCTION("""COMPUTED_VALUE"""),"2023-AT-C136")</f>
        <v>2023-AT-C136</v>
      </c>
      <c r="C165" s="17">
        <f>IFERROR(__xludf.DUMMYFUNCTION("""COMPUTED_VALUE"""),45158.0)</f>
        <v>45158</v>
      </c>
      <c r="D165" s="14" t="str">
        <f>IFERROR(__xludf.DUMMYFUNCTION("""COMPUTED_VALUE"""),"H")</f>
        <v>H</v>
      </c>
      <c r="E165" s="14" t="str">
        <f>IFERROR(__xludf.DUMMYFUNCTION("""COMPUTED_VALUE"""),"Cyprus")</f>
        <v>Cyprus</v>
      </c>
      <c r="F165" s="16" t="str">
        <f>IFERROR(__xludf.DUMMYFUNCTION("""COMPUTED_VALUE"""),"Travelife")</f>
        <v>Travelife</v>
      </c>
    </row>
    <row r="166">
      <c r="A166" s="14" t="str">
        <f>IFERROR(__xludf.DUMMYFUNCTION("""COMPUTED_VALUE"""),"Sander Verschuren")</f>
        <v>Sander Verschuren</v>
      </c>
      <c r="B166" s="14" t="str">
        <f>IFERROR(__xludf.DUMMYFUNCTION("""COMPUTED_VALUE"""),"2023-AT-C137")</f>
        <v>2023-AT-C137</v>
      </c>
      <c r="C166" s="17">
        <f>IFERROR(__xludf.DUMMYFUNCTION("""COMPUTED_VALUE"""),45158.0)</f>
        <v>45158</v>
      </c>
      <c r="D166" s="14" t="str">
        <f>IFERROR(__xludf.DUMMYFUNCTION("""COMPUTED_VALUE"""),"H")</f>
        <v>H</v>
      </c>
      <c r="E166" s="14" t="str">
        <f>IFERROR(__xludf.DUMMYFUNCTION("""COMPUTED_VALUE"""),"Netherlands")</f>
        <v>Netherlands</v>
      </c>
      <c r="F166" s="16" t="str">
        <f>IFERROR(__xludf.DUMMYFUNCTION("""COMPUTED_VALUE"""),"Travelife")</f>
        <v>Travelife</v>
      </c>
    </row>
    <row r="167">
      <c r="A167" s="14" t="str">
        <f>IFERROR(__xludf.DUMMYFUNCTION("""COMPUTED_VALUE"""),"Rocco Bonomo")</f>
        <v>Rocco Bonomo</v>
      </c>
      <c r="B167" s="14" t="str">
        <f>IFERROR(__xludf.DUMMYFUNCTION("""COMPUTED_VALUE"""),"2023-AT-C138")</f>
        <v>2023-AT-C138</v>
      </c>
      <c r="C167" s="17">
        <f>IFERROR(__xludf.DUMMYFUNCTION("""COMPUTED_VALUE"""),45158.0)</f>
        <v>45158</v>
      </c>
      <c r="D167" s="14" t="str">
        <f>IFERROR(__xludf.DUMMYFUNCTION("""COMPUTED_VALUE"""),"H")</f>
        <v>H</v>
      </c>
      <c r="E167" s="14" t="str">
        <f>IFERROR(__xludf.DUMMYFUNCTION("""COMPUTED_VALUE"""),"Italy / UK")</f>
        <v>Italy / UK</v>
      </c>
      <c r="F167" s="16" t="str">
        <f>IFERROR(__xludf.DUMMYFUNCTION("""COMPUTED_VALUE"""),"Travelife")</f>
        <v>Travelife</v>
      </c>
    </row>
    <row r="168">
      <c r="A168" s="14" t="str">
        <f>IFERROR(__xludf.DUMMYFUNCTION("""COMPUTED_VALUE"""),"Monique Beijer")</f>
        <v>Monique Beijer</v>
      </c>
      <c r="B168" s="14" t="str">
        <f>IFERROR(__xludf.DUMMYFUNCTION("""COMPUTED_VALUE"""),"2023-AT-C139")</f>
        <v>2023-AT-C139</v>
      </c>
      <c r="C168" s="17">
        <f>IFERROR(__xludf.DUMMYFUNCTION("""COMPUTED_VALUE"""),45158.0)</f>
        <v>45158</v>
      </c>
      <c r="D168" s="14" t="str">
        <f>IFERROR(__xludf.DUMMYFUNCTION("""COMPUTED_VALUE"""),"H")</f>
        <v>H</v>
      </c>
      <c r="E168" s="14" t="str">
        <f>IFERROR(__xludf.DUMMYFUNCTION("""COMPUTED_VALUE"""),"Netherlands")</f>
        <v>Netherlands</v>
      </c>
      <c r="F168" s="16" t="str">
        <f>IFERROR(__xludf.DUMMYFUNCTION("""COMPUTED_VALUE"""),"Travelife")</f>
        <v>Travelife</v>
      </c>
    </row>
    <row r="169">
      <c r="A169" s="14" t="str">
        <f>IFERROR(__xludf.DUMMYFUNCTION("""COMPUTED_VALUE"""),"Duygu Bora")</f>
        <v>Duygu Bora</v>
      </c>
      <c r="B169" s="14" t="str">
        <f>IFERROR(__xludf.DUMMYFUNCTION("""COMPUTED_VALUE"""),"2023-AT-C140")</f>
        <v>2023-AT-C140</v>
      </c>
      <c r="C169" s="17">
        <f>IFERROR(__xludf.DUMMYFUNCTION("""COMPUTED_VALUE"""),45160.0)</f>
        <v>45160</v>
      </c>
      <c r="D169" s="14" t="str">
        <f>IFERROR(__xludf.DUMMYFUNCTION("""COMPUTED_VALUE"""),"TO")</f>
        <v>TO</v>
      </c>
      <c r="E169" s="14" t="str">
        <f>IFERROR(__xludf.DUMMYFUNCTION("""COMPUTED_VALUE"""),"Turkiye")</f>
        <v>Turkiye</v>
      </c>
      <c r="F169" s="16" t="str">
        <f>IFERROR(__xludf.DUMMYFUNCTION("""COMPUTED_VALUE"""),"Cappadocia University")</f>
        <v>Cappadocia University</v>
      </c>
    </row>
    <row r="170">
      <c r="A170" s="14" t="str">
        <f>IFERROR(__xludf.DUMMYFUNCTION("""COMPUTED_VALUE"""),"Mehmet BAHAR")</f>
        <v>Mehmet BAHAR</v>
      </c>
      <c r="B170" s="14" t="str">
        <f>IFERROR(__xludf.DUMMYFUNCTION("""COMPUTED_VALUE"""),"2023-AT-C141")</f>
        <v>2023-AT-C141</v>
      </c>
      <c r="C170" s="17">
        <f>IFERROR(__xludf.DUMMYFUNCTION("""COMPUTED_VALUE"""),45166.0)</f>
        <v>45166</v>
      </c>
      <c r="D170" s="14" t="str">
        <f>IFERROR(__xludf.DUMMYFUNCTION("""COMPUTED_VALUE"""),"TO")</f>
        <v>TO</v>
      </c>
      <c r="E170" s="14" t="str">
        <f>IFERROR(__xludf.DUMMYFUNCTION("""COMPUTED_VALUE"""),"Turkiye")</f>
        <v>Turkiye</v>
      </c>
      <c r="F170" s="16" t="str">
        <f>IFERROR(__xludf.DUMMYFUNCTION("""COMPUTED_VALUE"""),"Cappadocia University")</f>
        <v>Cappadocia University</v>
      </c>
    </row>
    <row r="171">
      <c r="A171" s="14" t="str">
        <f>IFERROR(__xludf.DUMMYFUNCTION("""COMPUTED_VALUE"""),"ÖMER FARUK FATSA")</f>
        <v>ÖMER FARUK FATSA</v>
      </c>
      <c r="B171" s="14" t="str">
        <f>IFERROR(__xludf.DUMMYFUNCTION("""COMPUTED_VALUE"""),"2023-AT-C142")</f>
        <v>2023-AT-C142</v>
      </c>
      <c r="C171" s="17">
        <f>IFERROR(__xludf.DUMMYFUNCTION("""COMPUTED_VALUE"""),45169.0)</f>
        <v>45169</v>
      </c>
      <c r="D171" s="14" t="str">
        <f>IFERROR(__xludf.DUMMYFUNCTION("""COMPUTED_VALUE"""),"TO")</f>
        <v>TO</v>
      </c>
      <c r="E171" s="14" t="str">
        <f>IFERROR(__xludf.DUMMYFUNCTION("""COMPUTED_VALUE"""),"Turkiye")</f>
        <v>Turkiye</v>
      </c>
      <c r="F171" s="16" t="str">
        <f>IFERROR(__xludf.DUMMYFUNCTION("""COMPUTED_VALUE"""),"ROYALCERT")</f>
        <v>ROYALCERT</v>
      </c>
    </row>
    <row r="172">
      <c r="A172" s="14" t="str">
        <f>IFERROR(__xludf.DUMMYFUNCTION("""COMPUTED_VALUE"""),"Türkan Sinem Uçar")</f>
        <v>Türkan Sinem Uçar</v>
      </c>
      <c r="B172" s="14" t="str">
        <f>IFERROR(__xludf.DUMMYFUNCTION("""COMPUTED_VALUE"""),"2023-AT-C143")</f>
        <v>2023-AT-C143</v>
      </c>
      <c r="C172" s="17">
        <f>IFERROR(__xludf.DUMMYFUNCTION("""COMPUTED_VALUE"""),45170.0)</f>
        <v>45170</v>
      </c>
      <c r="D172" s="14" t="str">
        <f>IFERROR(__xludf.DUMMYFUNCTION("""COMPUTED_VALUE"""),"H")</f>
        <v>H</v>
      </c>
      <c r="E172" s="14" t="str">
        <f>IFERROR(__xludf.DUMMYFUNCTION("""COMPUTED_VALUE"""),"Turkiye")</f>
        <v>Turkiye</v>
      </c>
      <c r="F172" s="16" t="str">
        <f>IFERROR(__xludf.DUMMYFUNCTION("""COMPUTED_VALUE"""),"TGA")</f>
        <v>TGA</v>
      </c>
    </row>
    <row r="173">
      <c r="A173" s="14" t="str">
        <f>IFERROR(__xludf.DUMMYFUNCTION("""COMPUTED_VALUE"""),"Mustafa Demirol")</f>
        <v>Mustafa Demirol</v>
      </c>
      <c r="B173" s="14" t="str">
        <f>IFERROR(__xludf.DUMMYFUNCTION("""COMPUTED_VALUE"""),"2023-AT-C144")</f>
        <v>2023-AT-C144</v>
      </c>
      <c r="C173" s="17">
        <f>IFERROR(__xludf.DUMMYFUNCTION("""COMPUTED_VALUE"""),45170.0)</f>
        <v>45170</v>
      </c>
      <c r="D173" s="14" t="str">
        <f>IFERROR(__xludf.DUMMYFUNCTION("""COMPUTED_VALUE"""),"H")</f>
        <v>H</v>
      </c>
      <c r="E173" s="14" t="str">
        <f>IFERROR(__xludf.DUMMYFUNCTION("""COMPUTED_VALUE"""),"Turkiye")</f>
        <v>Turkiye</v>
      </c>
      <c r="F173" s="16" t="str">
        <f>IFERROR(__xludf.DUMMYFUNCTION("""COMPUTED_VALUE"""),"TRB International certification Ltd.")</f>
        <v>TRB International certification Ltd.</v>
      </c>
    </row>
    <row r="174">
      <c r="A174" s="14" t="str">
        <f>IFERROR(__xludf.DUMMYFUNCTION("""COMPUTED_VALUE"""),"Haibing Zhang")</f>
        <v>Haibing Zhang</v>
      </c>
      <c r="B174" s="14" t="str">
        <f>IFERROR(__xludf.DUMMYFUNCTION("""COMPUTED_VALUE"""),"2023-AT-C145")</f>
        <v>2023-AT-C145</v>
      </c>
      <c r="C174" s="17">
        <f>IFERROR(__xludf.DUMMYFUNCTION("""COMPUTED_VALUE"""),45170.0)</f>
        <v>45170</v>
      </c>
      <c r="D174" s="14" t="str">
        <f>IFERROR(__xludf.DUMMYFUNCTION("""COMPUTED_VALUE"""),"TO")</f>
        <v>TO</v>
      </c>
      <c r="E174" s="14" t="str">
        <f>IFERROR(__xludf.DUMMYFUNCTION("""COMPUTED_VALUE"""),"China")</f>
        <v>China</v>
      </c>
      <c r="F174" s="16" t="str">
        <f>IFERROR(__xludf.DUMMYFUNCTION("""COMPUTED_VALUE"""),"Bureau Veritas")</f>
        <v>Bureau Veritas</v>
      </c>
    </row>
    <row r="175">
      <c r="A175" s="14" t="str">
        <f>IFERROR(__xludf.DUMMYFUNCTION("""COMPUTED_VALUE"""),"Masaru Takayama")</f>
        <v>Masaru Takayama</v>
      </c>
      <c r="B175" s="14" t="str">
        <f>IFERROR(__xludf.DUMMYFUNCTION("""COMPUTED_VALUE"""),"2023-AT-C146")</f>
        <v>2023-AT-C146</v>
      </c>
      <c r="C175" s="17">
        <f>IFERROR(__xludf.DUMMYFUNCTION("""COMPUTED_VALUE"""),45173.0)</f>
        <v>45173</v>
      </c>
      <c r="D175" s="14" t="str">
        <f>IFERROR(__xludf.DUMMYFUNCTION("""COMPUTED_VALUE"""),"TO")</f>
        <v>TO</v>
      </c>
      <c r="E175" s="14" t="str">
        <f>IFERROR(__xludf.DUMMYFUNCTION("""COMPUTED_VALUE"""),"Japan")</f>
        <v>Japan</v>
      </c>
      <c r="F175" s="16" t="str">
        <f>IFERROR(__xludf.DUMMYFUNCTION("""COMPUTED_VALUE"""),"Japan Alliance of Responsible Travel Agencies")</f>
        <v>Japan Alliance of Responsible Travel Agencies</v>
      </c>
    </row>
    <row r="176">
      <c r="A176" s="14" t="str">
        <f>IFERROR(__xludf.DUMMYFUNCTION("""COMPUTED_VALUE"""),"Jung-Feng Cheng")</f>
        <v>Jung-Feng Cheng</v>
      </c>
      <c r="B176" s="14" t="str">
        <f>IFERROR(__xludf.DUMMYFUNCTION("""COMPUTED_VALUE"""),"2023-AT-C147")</f>
        <v>2023-AT-C147</v>
      </c>
      <c r="C176" s="17">
        <f>IFERROR(__xludf.DUMMYFUNCTION("""COMPUTED_VALUE"""),45173.0)</f>
        <v>45173</v>
      </c>
      <c r="D176" s="14" t="str">
        <f>IFERROR(__xludf.DUMMYFUNCTION("""COMPUTED_VALUE"""),"TO")</f>
        <v>TO</v>
      </c>
      <c r="E176" s="14" t="str">
        <f>IFERROR(__xludf.DUMMYFUNCTION("""COMPUTED_VALUE"""),"Taiwan")</f>
        <v>Taiwan</v>
      </c>
      <c r="F176" s="16" t="str">
        <f>IFERROR(__xludf.DUMMYFUNCTION("""COMPUTED_VALUE"""),"Control Union")</f>
        <v>Control Union</v>
      </c>
    </row>
    <row r="177">
      <c r="A177" s="14" t="str">
        <f>IFERROR(__xludf.DUMMYFUNCTION("""COMPUTED_VALUE"""),"TRUONG NGUYEN BAO TRAM")</f>
        <v>TRUONG NGUYEN BAO TRAM</v>
      </c>
      <c r="B177" s="14" t="str">
        <f>IFERROR(__xludf.DUMMYFUNCTION("""COMPUTED_VALUE"""),"2023-AT-C148")</f>
        <v>2023-AT-C148</v>
      </c>
      <c r="C177" s="17">
        <f>IFERROR(__xludf.DUMMYFUNCTION("""COMPUTED_VALUE"""),45173.0)</f>
        <v>45173</v>
      </c>
      <c r="D177" s="14" t="str">
        <f>IFERROR(__xludf.DUMMYFUNCTION("""COMPUTED_VALUE"""),"TO")</f>
        <v>TO</v>
      </c>
      <c r="E177" s="14" t="str">
        <f>IFERROR(__xludf.DUMMYFUNCTION("""COMPUTED_VALUE"""),"Viet Nam")</f>
        <v>Viet Nam</v>
      </c>
      <c r="F177" s="16" t="str">
        <f>IFERROR(__xludf.DUMMYFUNCTION("""COMPUTED_VALUE"""),"Peterson Services")</f>
        <v>Peterson Services</v>
      </c>
    </row>
    <row r="178">
      <c r="A178" s="14" t="str">
        <f>IFERROR(__xludf.DUMMYFUNCTION("""COMPUTED_VALUE"""),"Ivan Cassar")</f>
        <v>Ivan Cassar</v>
      </c>
      <c r="B178" s="14" t="str">
        <f>IFERROR(__xludf.DUMMYFUNCTION("""COMPUTED_VALUE"""),"2023-AT-C149")</f>
        <v>2023-AT-C149</v>
      </c>
      <c r="C178" s="17">
        <f>IFERROR(__xludf.DUMMYFUNCTION("""COMPUTED_VALUE"""),45174.0)</f>
        <v>45174</v>
      </c>
      <c r="D178" s="14" t="str">
        <f>IFERROR(__xludf.DUMMYFUNCTION("""COMPUTED_VALUE"""),"TO")</f>
        <v>TO</v>
      </c>
      <c r="E178" s="14" t="str">
        <f>IFERROR(__xludf.DUMMYFUNCTION("""COMPUTED_VALUE"""),"Malta")</f>
        <v>Malta</v>
      </c>
      <c r="F178" s="16" t="str">
        <f>IFERROR(__xludf.DUMMYFUNCTION("""COMPUTED_VALUE"""),"Malta Tourism Authority")</f>
        <v>Malta Tourism Authority</v>
      </c>
    </row>
    <row r="179">
      <c r="A179" s="14" t="str">
        <f>IFERROR(__xludf.DUMMYFUNCTION("""COMPUTED_VALUE"""),"Hale Yamik")</f>
        <v>Hale Yamik</v>
      </c>
      <c r="B179" s="14" t="str">
        <f>IFERROR(__xludf.DUMMYFUNCTION("""COMPUTED_VALUE"""),"2023-AT-C150")</f>
        <v>2023-AT-C150</v>
      </c>
      <c r="C179" s="17">
        <f>IFERROR(__xludf.DUMMYFUNCTION("""COMPUTED_VALUE"""),45187.0)</f>
        <v>45187</v>
      </c>
      <c r="D179" s="14" t="str">
        <f>IFERROR(__xludf.DUMMYFUNCTION("""COMPUTED_VALUE"""),"TO")</f>
        <v>TO</v>
      </c>
      <c r="E179" s="14" t="str">
        <f>IFERROR(__xludf.DUMMYFUNCTION("""COMPUTED_VALUE"""),"Turkiye")</f>
        <v>Turkiye</v>
      </c>
      <c r="F179" s="16" t="str">
        <f>IFERROR(__xludf.DUMMYFUNCTION("""COMPUTED_VALUE"""),"SBG Uygunluk Değerlendirme A.Ş")</f>
        <v>SBG Uygunluk Değerlendirme A.Ş</v>
      </c>
    </row>
    <row r="180">
      <c r="A180" s="14" t="str">
        <f>IFERROR(__xludf.DUMMYFUNCTION("""COMPUTED_VALUE"""),"Soparat Bamrungsak")</f>
        <v>Soparat Bamrungsak</v>
      </c>
      <c r="B180" s="14" t="str">
        <f>IFERROR(__xludf.DUMMYFUNCTION("""COMPUTED_VALUE"""),"2023-AT-C151")</f>
        <v>2023-AT-C151</v>
      </c>
      <c r="C180" s="17">
        <f>IFERROR(__xludf.DUMMYFUNCTION("""COMPUTED_VALUE"""),45189.0)</f>
        <v>45189</v>
      </c>
      <c r="D180" s="14" t="str">
        <f>IFERROR(__xludf.DUMMYFUNCTION("""COMPUTED_VALUE"""),"H")</f>
        <v>H</v>
      </c>
      <c r="E180" s="14" t="str">
        <f>IFERROR(__xludf.DUMMYFUNCTION("""COMPUTED_VALUE"""),"Thailand")</f>
        <v>Thailand</v>
      </c>
      <c r="F180" s="16" t="str">
        <f>IFERROR(__xludf.DUMMYFUNCTION("""COMPUTED_VALUE"""),"Control Union")</f>
        <v>Control Union</v>
      </c>
    </row>
    <row r="181">
      <c r="A181" s="14" t="str">
        <f>IFERROR(__xludf.DUMMYFUNCTION("""COMPUTED_VALUE"""),"Lina Chen")</f>
        <v>Lina Chen</v>
      </c>
      <c r="B181" s="14" t="str">
        <f>IFERROR(__xludf.DUMMYFUNCTION("""COMPUTED_VALUE"""),"2023-AT-C152")</f>
        <v>2023-AT-C152</v>
      </c>
      <c r="C181" s="17">
        <f>IFERROR(__xludf.DUMMYFUNCTION("""COMPUTED_VALUE"""),45194.0)</f>
        <v>45194</v>
      </c>
      <c r="D181" s="14" t="str">
        <f>IFERROR(__xludf.DUMMYFUNCTION("""COMPUTED_VALUE"""),"TO")</f>
        <v>TO</v>
      </c>
      <c r="E181" s="14" t="str">
        <f>IFERROR(__xludf.DUMMYFUNCTION("""COMPUTED_VALUE"""),"China")</f>
        <v>China</v>
      </c>
      <c r="F181" s="16" t="str">
        <f>IFERROR(__xludf.DUMMYFUNCTION("""COMPUTED_VALUE"""),"Bureau Veritas")</f>
        <v>Bureau Veritas</v>
      </c>
    </row>
    <row r="182">
      <c r="A182" s="14" t="str">
        <f>IFERROR(__xludf.DUMMYFUNCTION("""COMPUTED_VALUE"""),"ALPER BAYRAM")</f>
        <v>ALPER BAYRAM</v>
      </c>
      <c r="B182" s="14" t="str">
        <f>IFERROR(__xludf.DUMMYFUNCTION("""COMPUTED_VALUE"""),"2023-AT-C153")</f>
        <v>2023-AT-C153</v>
      </c>
      <c r="C182" s="17">
        <f>IFERROR(__xludf.DUMMYFUNCTION("""COMPUTED_VALUE"""),45224.0)</f>
        <v>45224</v>
      </c>
      <c r="D182" s="14" t="str">
        <f>IFERROR(__xludf.DUMMYFUNCTION("""COMPUTED_VALUE"""),"H")</f>
        <v>H</v>
      </c>
      <c r="E182" s="14" t="str">
        <f>IFERROR(__xludf.DUMMYFUNCTION("""COMPUTED_VALUE"""),"Turkiye")</f>
        <v>Turkiye</v>
      </c>
      <c r="F182" s="16" t="str">
        <f>IFERROR(__xludf.DUMMYFUNCTION("""COMPUTED_VALUE"""),"ROYALCERT")</f>
        <v>ROYALCERT</v>
      </c>
    </row>
    <row r="183">
      <c r="A183" s="14" t="str">
        <f>IFERROR(__xludf.DUMMYFUNCTION("""COMPUTED_VALUE"""),"Barış ÇELENK")</f>
        <v>Barış ÇELENK</v>
      </c>
      <c r="B183" s="14" t="str">
        <f>IFERROR(__xludf.DUMMYFUNCTION("""COMPUTED_VALUE"""),"2023-AT-C154")</f>
        <v>2023-AT-C154</v>
      </c>
      <c r="C183" s="17">
        <f>IFERROR(__xludf.DUMMYFUNCTION("""COMPUTED_VALUE"""),45224.0)</f>
        <v>45224</v>
      </c>
      <c r="D183" s="14" t="str">
        <f>IFERROR(__xludf.DUMMYFUNCTION("""COMPUTED_VALUE"""),"H")</f>
        <v>H</v>
      </c>
      <c r="E183" s="14" t="str">
        <f>IFERROR(__xludf.DUMMYFUNCTION("""COMPUTED_VALUE"""),"Turkiye")</f>
        <v>Turkiye</v>
      </c>
      <c r="F183" s="16" t="str">
        <f>IFERROR(__xludf.DUMMYFUNCTION("""COMPUTED_VALUE"""),"ROYALCERT")</f>
        <v>ROYALCERT</v>
      </c>
    </row>
    <row r="184">
      <c r="A184" s="14" t="str">
        <f>IFERROR(__xludf.DUMMYFUNCTION("""COMPUTED_VALUE"""),"MURAT CAN TEZGÖREN")</f>
        <v>MURAT CAN TEZGÖREN</v>
      </c>
      <c r="B184" s="14" t="str">
        <f>IFERROR(__xludf.DUMMYFUNCTION("""COMPUTED_VALUE"""),"2023-AT-C155")</f>
        <v>2023-AT-C155</v>
      </c>
      <c r="C184" s="17">
        <f>IFERROR(__xludf.DUMMYFUNCTION("""COMPUTED_VALUE"""),45224.0)</f>
        <v>45224</v>
      </c>
      <c r="D184" s="14" t="str">
        <f>IFERROR(__xludf.DUMMYFUNCTION("""COMPUTED_VALUE"""),"H")</f>
        <v>H</v>
      </c>
      <c r="E184" s="14" t="str">
        <f>IFERROR(__xludf.DUMMYFUNCTION("""COMPUTED_VALUE"""),"Turkiye")</f>
        <v>Turkiye</v>
      </c>
      <c r="F184" s="16" t="str">
        <f>IFERROR(__xludf.DUMMYFUNCTION("""COMPUTED_VALUE"""),"ROYALCERT")</f>
        <v>ROYALCERT</v>
      </c>
    </row>
    <row r="185">
      <c r="A185" s="14" t="str">
        <f>IFERROR(__xludf.DUMMYFUNCTION("""COMPUTED_VALUE"""),"SERCAN GÜLIŞIK")</f>
        <v>SERCAN GÜLIŞIK</v>
      </c>
      <c r="B185" s="14" t="str">
        <f>IFERROR(__xludf.DUMMYFUNCTION("""COMPUTED_VALUE"""),"2023-AT-C156")</f>
        <v>2023-AT-C156</v>
      </c>
      <c r="C185" s="17">
        <f>IFERROR(__xludf.DUMMYFUNCTION("""COMPUTED_VALUE"""),45224.0)</f>
        <v>45224</v>
      </c>
      <c r="D185" s="14" t="str">
        <f>IFERROR(__xludf.DUMMYFUNCTION("""COMPUTED_VALUE"""),"H")</f>
        <v>H</v>
      </c>
      <c r="E185" s="14" t="str">
        <f>IFERROR(__xludf.DUMMYFUNCTION("""COMPUTED_VALUE"""),"Turkiye")</f>
        <v>Turkiye</v>
      </c>
      <c r="F185" s="16" t="str">
        <f>IFERROR(__xludf.DUMMYFUNCTION("""COMPUTED_VALUE"""),"ROYALCERT")</f>
        <v>ROYALCERT</v>
      </c>
    </row>
    <row r="186">
      <c r="A186" s="14" t="str">
        <f>IFERROR(__xludf.DUMMYFUNCTION("""COMPUTED_VALUE"""),"AYKUT DURNA")</f>
        <v>AYKUT DURNA</v>
      </c>
      <c r="B186" s="14" t="str">
        <f>IFERROR(__xludf.DUMMYFUNCTION("""COMPUTED_VALUE"""),"2023-AT-C157")</f>
        <v>2023-AT-C157</v>
      </c>
      <c r="C186" s="17">
        <f>IFERROR(__xludf.DUMMYFUNCTION("""COMPUTED_VALUE"""),45224.0)</f>
        <v>45224</v>
      </c>
      <c r="D186" s="14" t="str">
        <f>IFERROR(__xludf.DUMMYFUNCTION("""COMPUTED_VALUE"""),"H")</f>
        <v>H</v>
      </c>
      <c r="E186" s="14" t="str">
        <f>IFERROR(__xludf.DUMMYFUNCTION("""COMPUTED_VALUE"""),"Turkiye")</f>
        <v>Turkiye</v>
      </c>
      <c r="F186" s="16" t="str">
        <f>IFERROR(__xludf.DUMMYFUNCTION("""COMPUTED_VALUE"""),"ROYALCERT")</f>
        <v>ROYALCERT</v>
      </c>
    </row>
    <row r="187">
      <c r="A187" s="14" t="str">
        <f>IFERROR(__xludf.DUMMYFUNCTION("""COMPUTED_VALUE"""),"Yunus İNEL")</f>
        <v>Yunus İNEL</v>
      </c>
      <c r="B187" s="14" t="str">
        <f>IFERROR(__xludf.DUMMYFUNCTION("""COMPUTED_VALUE"""),"2023-AT-C158")</f>
        <v>2023-AT-C158</v>
      </c>
      <c r="C187" s="17">
        <f>IFERROR(__xludf.DUMMYFUNCTION("""COMPUTED_VALUE"""),45224.0)</f>
        <v>45224</v>
      </c>
      <c r="D187" s="14" t="str">
        <f>IFERROR(__xludf.DUMMYFUNCTION("""COMPUTED_VALUE"""),"H")</f>
        <v>H</v>
      </c>
      <c r="E187" s="14" t="str">
        <f>IFERROR(__xludf.DUMMYFUNCTION("""COMPUTED_VALUE"""),"Turkiye")</f>
        <v>Turkiye</v>
      </c>
      <c r="F187" s="16" t="str">
        <f>IFERROR(__xludf.DUMMYFUNCTION("""COMPUTED_VALUE"""),"ROYALCERT")</f>
        <v>ROYALCERT</v>
      </c>
    </row>
    <row r="188">
      <c r="A188" s="14" t="str">
        <f>IFERROR(__xludf.DUMMYFUNCTION("""COMPUTED_VALUE"""),"EMRE BAHA CIZRELI")</f>
        <v>EMRE BAHA CIZRELI</v>
      </c>
      <c r="B188" s="14" t="str">
        <f>IFERROR(__xludf.DUMMYFUNCTION("""COMPUTED_VALUE"""),"2023-AT-C159")</f>
        <v>2023-AT-C159</v>
      </c>
      <c r="C188" s="17">
        <f>IFERROR(__xludf.DUMMYFUNCTION("""COMPUTED_VALUE"""),45224.0)</f>
        <v>45224</v>
      </c>
      <c r="D188" s="14" t="str">
        <f>IFERROR(__xludf.DUMMYFUNCTION("""COMPUTED_VALUE"""),"H")</f>
        <v>H</v>
      </c>
      <c r="E188" s="14" t="str">
        <f>IFERROR(__xludf.DUMMYFUNCTION("""COMPUTED_VALUE"""),"Turkiye")</f>
        <v>Turkiye</v>
      </c>
      <c r="F188" s="16" t="str">
        <f>IFERROR(__xludf.DUMMYFUNCTION("""COMPUTED_VALUE"""),"ROYALCERT")</f>
        <v>ROYALCERT</v>
      </c>
    </row>
    <row r="189">
      <c r="A189" s="14" t="str">
        <f>IFERROR(__xludf.DUMMYFUNCTION("""COMPUTED_VALUE"""),"Hale Yamik")</f>
        <v>Hale Yamik</v>
      </c>
      <c r="B189" s="14" t="str">
        <f>IFERROR(__xludf.DUMMYFUNCTION("""COMPUTED_VALUE"""),"2023-AT-C160")</f>
        <v>2023-AT-C160</v>
      </c>
      <c r="C189" s="17">
        <f>IFERROR(__xludf.DUMMYFUNCTION("""COMPUTED_VALUE"""),45224.0)</f>
        <v>45224</v>
      </c>
      <c r="D189" s="14" t="str">
        <f>IFERROR(__xludf.DUMMYFUNCTION("""COMPUTED_VALUE"""),"H")</f>
        <v>H</v>
      </c>
      <c r="E189" s="14" t="str">
        <f>IFERROR(__xludf.DUMMYFUNCTION("""COMPUTED_VALUE"""),"Turkiye")</f>
        <v>Turkiye</v>
      </c>
      <c r="F189" s="16" t="str">
        <f>IFERROR(__xludf.DUMMYFUNCTION("""COMPUTED_VALUE"""),"SBG Uygunluk Değerlendirme A.Ş")</f>
        <v>SBG Uygunluk Değerlendirme A.Ş</v>
      </c>
    </row>
    <row r="190">
      <c r="A190" s="14" t="str">
        <f>IFERROR(__xludf.DUMMYFUNCTION("""COMPUTED_VALUE"""),"ÖZDE NAZ ÖZLÜ")</f>
        <v>ÖZDE NAZ ÖZLÜ</v>
      </c>
      <c r="B190" s="14" t="str">
        <f>IFERROR(__xludf.DUMMYFUNCTION("""COMPUTED_VALUE"""),"2023-AT-C161")</f>
        <v>2023-AT-C161</v>
      </c>
      <c r="C190" s="17">
        <f>IFERROR(__xludf.DUMMYFUNCTION("""COMPUTED_VALUE"""),45224.0)</f>
        <v>45224</v>
      </c>
      <c r="D190" s="14" t="str">
        <f>IFERROR(__xludf.DUMMYFUNCTION("""COMPUTED_VALUE"""),"H")</f>
        <v>H</v>
      </c>
      <c r="E190" s="14" t="str">
        <f>IFERROR(__xludf.DUMMYFUNCTION("""COMPUTED_VALUE"""),"Turkiye")</f>
        <v>Turkiye</v>
      </c>
      <c r="F190" s="16" t="str">
        <f>IFERROR(__xludf.DUMMYFUNCTION("""COMPUTED_VALUE"""),"ROYALCERT")</f>
        <v>ROYALCERT</v>
      </c>
    </row>
    <row r="191">
      <c r="A191" s="14" t="str">
        <f>IFERROR(__xludf.DUMMYFUNCTION("""COMPUTED_VALUE"""),"Ezgi DURSUN")</f>
        <v>Ezgi DURSUN</v>
      </c>
      <c r="B191" s="14" t="str">
        <f>IFERROR(__xludf.DUMMYFUNCTION("""COMPUTED_VALUE"""),"2023-AT-C162")</f>
        <v>2023-AT-C162</v>
      </c>
      <c r="C191" s="17">
        <f>IFERROR(__xludf.DUMMYFUNCTION("""COMPUTED_VALUE"""),45224.0)</f>
        <v>45224</v>
      </c>
      <c r="D191" s="14" t="str">
        <f>IFERROR(__xludf.DUMMYFUNCTION("""COMPUTED_VALUE"""),"H")</f>
        <v>H</v>
      </c>
      <c r="E191" s="14" t="str">
        <f>IFERROR(__xludf.DUMMYFUNCTION("""COMPUTED_VALUE"""),"Turkiye")</f>
        <v>Turkiye</v>
      </c>
      <c r="F191" s="16" t="str">
        <f>IFERROR(__xludf.DUMMYFUNCTION("""COMPUTED_VALUE"""),"Self Employed")</f>
        <v>Self Employed</v>
      </c>
    </row>
    <row r="192">
      <c r="A192" s="14" t="str">
        <f>IFERROR(__xludf.DUMMYFUNCTION("""COMPUTED_VALUE"""),"Neliz Çetiner")</f>
        <v>Neliz Çetiner</v>
      </c>
      <c r="B192" s="14" t="str">
        <f>IFERROR(__xludf.DUMMYFUNCTION("""COMPUTED_VALUE"""),"2023-AT-C163")</f>
        <v>2023-AT-C163</v>
      </c>
      <c r="C192" s="17">
        <f>IFERROR(__xludf.DUMMYFUNCTION("""COMPUTED_VALUE"""),45224.0)</f>
        <v>45224</v>
      </c>
      <c r="D192" s="14" t="str">
        <f>IFERROR(__xludf.DUMMYFUNCTION("""COMPUTED_VALUE"""),"H")</f>
        <v>H</v>
      </c>
      <c r="E192" s="14" t="str">
        <f>IFERROR(__xludf.DUMMYFUNCTION("""COMPUTED_VALUE"""),"Turkiye")</f>
        <v>Turkiye</v>
      </c>
      <c r="F192" s="16" t="str">
        <f>IFERROR(__xludf.DUMMYFUNCTION("""COMPUTED_VALUE"""),"TGA")</f>
        <v>TGA</v>
      </c>
    </row>
    <row r="193">
      <c r="A193" s="14" t="str">
        <f>IFERROR(__xludf.DUMMYFUNCTION("""COMPUTED_VALUE"""),"Elif Erdinc Senkal")</f>
        <v>Elif Erdinc Senkal</v>
      </c>
      <c r="B193" s="14" t="str">
        <f>IFERROR(__xludf.DUMMYFUNCTION("""COMPUTED_VALUE"""),"2023-AT-C164")</f>
        <v>2023-AT-C164</v>
      </c>
      <c r="C193" s="17">
        <f>IFERROR(__xludf.DUMMYFUNCTION("""COMPUTED_VALUE"""),45224.0)</f>
        <v>45224</v>
      </c>
      <c r="D193" s="14" t="str">
        <f>IFERROR(__xludf.DUMMYFUNCTION("""COMPUTED_VALUE"""),"H")</f>
        <v>H</v>
      </c>
      <c r="E193" s="14" t="str">
        <f>IFERROR(__xludf.DUMMYFUNCTION("""COMPUTED_VALUE"""),"Turkiye")</f>
        <v>Turkiye</v>
      </c>
      <c r="F193" s="16" t="str">
        <f>IFERROR(__xludf.DUMMYFUNCTION("""COMPUTED_VALUE"""),"Self Employed")</f>
        <v>Self Employed</v>
      </c>
    </row>
    <row r="194">
      <c r="A194" s="14" t="str">
        <f>IFERROR(__xludf.DUMMYFUNCTION("""COMPUTED_VALUE"""),"Ceylan Ogan")</f>
        <v>Ceylan Ogan</v>
      </c>
      <c r="B194" s="14" t="str">
        <f>IFERROR(__xludf.DUMMYFUNCTION("""COMPUTED_VALUE"""),"2023-AT-C165")</f>
        <v>2023-AT-C165</v>
      </c>
      <c r="C194" s="17">
        <f>IFERROR(__xludf.DUMMYFUNCTION("""COMPUTED_VALUE"""),45224.0)</f>
        <v>45224</v>
      </c>
      <c r="D194" s="14" t="str">
        <f>IFERROR(__xludf.DUMMYFUNCTION("""COMPUTED_VALUE"""),"H")</f>
        <v>H</v>
      </c>
      <c r="E194" s="14" t="str">
        <f>IFERROR(__xludf.DUMMYFUNCTION("""COMPUTED_VALUE"""),"Turkiye")</f>
        <v>Turkiye</v>
      </c>
      <c r="F194" s="16" t="str">
        <f>IFERROR(__xludf.DUMMYFUNCTION("""COMPUTED_VALUE"""),"Travelife")</f>
        <v>Travelife</v>
      </c>
    </row>
    <row r="195">
      <c r="A195" s="14" t="str">
        <f>IFERROR(__xludf.DUMMYFUNCTION("""COMPUTED_VALUE"""),"Burak Geniş")</f>
        <v>Burak Geniş</v>
      </c>
      <c r="B195" s="14" t="str">
        <f>IFERROR(__xludf.DUMMYFUNCTION("""COMPUTED_VALUE"""),"2023-AT-C166")</f>
        <v>2023-AT-C166</v>
      </c>
      <c r="C195" s="17">
        <f>IFERROR(__xludf.DUMMYFUNCTION("""COMPUTED_VALUE"""),45224.0)</f>
        <v>45224</v>
      </c>
      <c r="D195" s="14" t="str">
        <f>IFERROR(__xludf.DUMMYFUNCTION("""COMPUTED_VALUE"""),"H")</f>
        <v>H</v>
      </c>
      <c r="E195" s="14" t="str">
        <f>IFERROR(__xludf.DUMMYFUNCTION("""COMPUTED_VALUE"""),"Turkiye")</f>
        <v>Turkiye</v>
      </c>
      <c r="F195" s="16" t="str">
        <f>IFERROR(__xludf.DUMMYFUNCTION("""COMPUTED_VALUE"""),"Self Employed")</f>
        <v>Self Employed</v>
      </c>
    </row>
    <row r="196">
      <c r="A196" s="14" t="str">
        <f>IFERROR(__xludf.DUMMYFUNCTION("""COMPUTED_VALUE"""),"Valdir César Pereira Alves")</f>
        <v>Valdir César Pereira Alves</v>
      </c>
      <c r="B196" s="14" t="str">
        <f>IFERROR(__xludf.DUMMYFUNCTION("""COMPUTED_VALUE"""),"2023-AT-C167")</f>
        <v>2023-AT-C167</v>
      </c>
      <c r="C196" s="17">
        <f>IFERROR(__xludf.DUMMYFUNCTION("""COMPUTED_VALUE"""),45224.0)</f>
        <v>45224</v>
      </c>
      <c r="D196" s="14" t="str">
        <f>IFERROR(__xludf.DUMMYFUNCTION("""COMPUTED_VALUE"""),"TO")</f>
        <v>TO</v>
      </c>
      <c r="E196" s="14" t="str">
        <f>IFERROR(__xludf.DUMMYFUNCTION("""COMPUTED_VALUE"""),"Cabo Verde")</f>
        <v>Cabo Verde</v>
      </c>
      <c r="F196" s="16" t="str">
        <f>IFERROR(__xludf.DUMMYFUNCTION("""COMPUTED_VALUE"""),"IGQPI (Institute for Quality Management and Intellectual Property)")</f>
        <v>IGQPI (Institute for Quality Management and Intellectual Property)</v>
      </c>
    </row>
    <row r="197">
      <c r="A197" s="14" t="str">
        <f>IFERROR(__xludf.DUMMYFUNCTION("""COMPUTED_VALUE"""),"Masaru Takayama")</f>
        <v>Masaru Takayama</v>
      </c>
      <c r="B197" s="14" t="str">
        <f>IFERROR(__xludf.DUMMYFUNCTION("""COMPUTED_VALUE"""),"2023-AT-C168")</f>
        <v>2023-AT-C168</v>
      </c>
      <c r="C197" s="17">
        <f>IFERROR(__xludf.DUMMYFUNCTION("""COMPUTED_VALUE"""),45226.0)</f>
        <v>45226</v>
      </c>
      <c r="D197" s="14" t="str">
        <f>IFERROR(__xludf.DUMMYFUNCTION("""COMPUTED_VALUE"""),"H")</f>
        <v>H</v>
      </c>
      <c r="E197" s="14" t="str">
        <f>IFERROR(__xludf.DUMMYFUNCTION("""COMPUTED_VALUE"""),"Japan")</f>
        <v>Japan</v>
      </c>
      <c r="F197" s="16" t="str">
        <f>IFERROR(__xludf.DUMMYFUNCTION("""COMPUTED_VALUE"""),"Japan Alliance of Responsible Travel Agencies")</f>
        <v>Japan Alliance of Responsible Travel Agencies</v>
      </c>
    </row>
    <row r="198">
      <c r="A198" s="14" t="str">
        <f>IFERROR(__xludf.DUMMYFUNCTION("""COMPUTED_VALUE"""),"Ahmet Emre KORPE")</f>
        <v>Ahmet Emre KORPE</v>
      </c>
      <c r="B198" s="14" t="str">
        <f>IFERROR(__xludf.DUMMYFUNCTION("""COMPUTED_VALUE"""),"2023-AT-C169")</f>
        <v>2023-AT-C169</v>
      </c>
      <c r="C198" s="17">
        <f>IFERROR(__xludf.DUMMYFUNCTION("""COMPUTED_VALUE"""),45226.0)</f>
        <v>45226</v>
      </c>
      <c r="D198" s="14" t="str">
        <f>IFERROR(__xludf.DUMMYFUNCTION("""COMPUTED_VALUE"""),"H")</f>
        <v>H</v>
      </c>
      <c r="E198" s="14" t="str">
        <f>IFERROR(__xludf.DUMMYFUNCTION("""COMPUTED_VALUE"""),"Turkiye")</f>
        <v>Turkiye</v>
      </c>
      <c r="F198" s="16" t="str">
        <f>IFERROR(__xludf.DUMMYFUNCTION("""COMPUTED_VALUE"""),"Ekoinspekt Uluslararasi Belgelendirme Denetim Gozetim Teknik Kontrol ve Egitim Hizmetleri Ltd. Sti.")</f>
        <v>Ekoinspekt Uluslararasi Belgelendirme Denetim Gozetim Teknik Kontrol ve Egitim Hizmetleri Ltd. Sti.</v>
      </c>
    </row>
    <row r="199">
      <c r="A199" s="14" t="str">
        <f>IFERROR(__xludf.DUMMYFUNCTION("""COMPUTED_VALUE"""),"Daisuke Inoyama")</f>
        <v>Daisuke Inoyama</v>
      </c>
      <c r="B199" s="14" t="str">
        <f>IFERROR(__xludf.DUMMYFUNCTION("""COMPUTED_VALUE"""),"2023-AT-C170")</f>
        <v>2023-AT-C170</v>
      </c>
      <c r="C199" s="17">
        <f>IFERROR(__xludf.DUMMYFUNCTION("""COMPUTED_VALUE"""),45226.0)</f>
        <v>45226</v>
      </c>
      <c r="D199" s="14" t="str">
        <f>IFERROR(__xludf.DUMMYFUNCTION("""COMPUTED_VALUE"""),"TO")</f>
        <v>TO</v>
      </c>
      <c r="E199" s="14" t="str">
        <f>IFERROR(__xludf.DUMMYFUNCTION("""COMPUTED_VALUE"""),"Japan")</f>
        <v>Japan</v>
      </c>
      <c r="F199" s="16" t="str">
        <f>IFERROR(__xludf.DUMMYFUNCTION("""COMPUTED_VALUE"""),"Control Union")</f>
        <v>Control Union</v>
      </c>
    </row>
    <row r="200">
      <c r="A200" s="14" t="str">
        <f>IFERROR(__xludf.DUMMYFUNCTION("""COMPUTED_VALUE"""),"Siti Salmah binti Abu Bakar")</f>
        <v>Siti Salmah binti Abu Bakar</v>
      </c>
      <c r="B200" s="14" t="str">
        <f>IFERROR(__xludf.DUMMYFUNCTION("""COMPUTED_VALUE"""),"2023-AT-C171")</f>
        <v>2023-AT-C171</v>
      </c>
      <c r="C200" s="17">
        <f>IFERROR(__xludf.DUMMYFUNCTION("""COMPUTED_VALUE"""),45238.0)</f>
        <v>45238</v>
      </c>
      <c r="D200" s="14" t="str">
        <f>IFERROR(__xludf.DUMMYFUNCTION("""COMPUTED_VALUE"""),"H")</f>
        <v>H</v>
      </c>
      <c r="E200" s="14" t="str">
        <f>IFERROR(__xludf.DUMMYFUNCTION("""COMPUTED_VALUE"""),"Malaysia")</f>
        <v>Malaysia</v>
      </c>
      <c r="F200" s="16" t="str">
        <f>IFERROR(__xludf.DUMMYFUNCTION("""COMPUTED_VALUE"""),"Control Union")</f>
        <v>Control Union</v>
      </c>
    </row>
    <row r="201">
      <c r="A201" s="14" t="str">
        <f>IFERROR(__xludf.DUMMYFUNCTION("""COMPUTED_VALUE"""),"Chiara Onofri")</f>
        <v>Chiara Onofri</v>
      </c>
      <c r="B201" s="14" t="str">
        <f>IFERROR(__xludf.DUMMYFUNCTION("""COMPUTED_VALUE"""),"2023-AT-C172")</f>
        <v>2023-AT-C172</v>
      </c>
      <c r="C201" s="17">
        <f>IFERROR(__xludf.DUMMYFUNCTION("""COMPUTED_VALUE"""),45238.0)</f>
        <v>45238</v>
      </c>
      <c r="D201" s="14" t="str">
        <f>IFERROR(__xludf.DUMMYFUNCTION("""COMPUTED_VALUE"""),"H")</f>
        <v>H</v>
      </c>
      <c r="E201" s="14" t="str">
        <f>IFERROR(__xludf.DUMMYFUNCTION("""COMPUTED_VALUE"""),"Italy")</f>
        <v>Italy</v>
      </c>
      <c r="F201" s="16" t="str">
        <f>IFERROR(__xludf.DUMMYFUNCTION("""COMPUTED_VALUE"""),"Control Union")</f>
        <v>Control Union</v>
      </c>
    </row>
    <row r="202">
      <c r="A202" s="14" t="str">
        <f>IFERROR(__xludf.DUMMYFUNCTION("""COMPUTED_VALUE"""),"Ivan Cassar")</f>
        <v>Ivan Cassar</v>
      </c>
      <c r="B202" s="14" t="str">
        <f>IFERROR(__xludf.DUMMYFUNCTION("""COMPUTED_VALUE"""),"2023-AT-C173")</f>
        <v>2023-AT-C173</v>
      </c>
      <c r="C202" s="17">
        <f>IFERROR(__xludf.DUMMYFUNCTION("""COMPUTED_VALUE"""),45244.0)</f>
        <v>45244</v>
      </c>
      <c r="D202" s="14" t="str">
        <f>IFERROR(__xludf.DUMMYFUNCTION("""COMPUTED_VALUE"""),"H")</f>
        <v>H</v>
      </c>
      <c r="E202" s="14" t="str">
        <f>IFERROR(__xludf.DUMMYFUNCTION("""COMPUTED_VALUE"""),"Malta")</f>
        <v>Malta</v>
      </c>
      <c r="F202" s="16" t="str">
        <f>IFERROR(__xludf.DUMMYFUNCTION("""COMPUTED_VALUE"""),"Malta Tourism Authority")</f>
        <v>Malta Tourism Authority</v>
      </c>
    </row>
    <row r="203">
      <c r="A203" s="14" t="str">
        <f>IFERROR(__xludf.DUMMYFUNCTION("""COMPUTED_VALUE"""),"MUHYETTİN ERZEN")</f>
        <v>MUHYETTİN ERZEN</v>
      </c>
      <c r="B203" s="14" t="str">
        <f>IFERROR(__xludf.DUMMYFUNCTION("""COMPUTED_VALUE"""),"2023-AT-C174")</f>
        <v>2023-AT-C174</v>
      </c>
      <c r="C203" s="17">
        <f>IFERROR(__xludf.DUMMYFUNCTION("""COMPUTED_VALUE"""),45244.0)</f>
        <v>45244</v>
      </c>
      <c r="D203" s="14" t="str">
        <f>IFERROR(__xludf.DUMMYFUNCTION("""COMPUTED_VALUE"""),"H")</f>
        <v>H</v>
      </c>
      <c r="E203" s="14" t="str">
        <f>IFERROR(__xludf.DUMMYFUNCTION("""COMPUTED_VALUE"""),"Turkiye")</f>
        <v>Turkiye</v>
      </c>
      <c r="F203" s="16" t="str">
        <f>IFERROR(__xludf.DUMMYFUNCTION("""COMPUTED_VALUE"""),"Self Employed")</f>
        <v>Self Employed</v>
      </c>
    </row>
    <row r="204">
      <c r="A204" s="14" t="str">
        <f>IFERROR(__xludf.DUMMYFUNCTION("""COMPUTED_VALUE"""),"TRUONG NGUYEN BAO TRAM")</f>
        <v>TRUONG NGUYEN BAO TRAM</v>
      </c>
      <c r="B204" s="14" t="str">
        <f>IFERROR(__xludf.DUMMYFUNCTION("""COMPUTED_VALUE"""),"2023-AT-C175")</f>
        <v>2023-AT-C175</v>
      </c>
      <c r="C204" s="17">
        <f>IFERROR(__xludf.DUMMYFUNCTION("""COMPUTED_VALUE"""),45244.0)</f>
        <v>45244</v>
      </c>
      <c r="D204" s="14" t="str">
        <f>IFERROR(__xludf.DUMMYFUNCTION("""COMPUTED_VALUE"""),"H")</f>
        <v>H</v>
      </c>
      <c r="E204" s="14" t="str">
        <f>IFERROR(__xludf.DUMMYFUNCTION("""COMPUTED_VALUE"""),"Viet Nam")</f>
        <v>Viet Nam</v>
      </c>
      <c r="F204" s="16" t="str">
        <f>IFERROR(__xludf.DUMMYFUNCTION("""COMPUTED_VALUE"""),"Peterson Services")</f>
        <v>Peterson Services</v>
      </c>
    </row>
    <row r="205">
      <c r="A205" s="14" t="str">
        <f>IFERROR(__xludf.DUMMYFUNCTION("""COMPUTED_VALUE"""),"Mi Hye Kim")</f>
        <v>Mi Hye Kim</v>
      </c>
      <c r="B205" s="14" t="str">
        <f>IFERROR(__xludf.DUMMYFUNCTION("""COMPUTED_VALUE"""),"2023-AT-C176")</f>
        <v>2023-AT-C176</v>
      </c>
      <c r="C205" s="17">
        <f>IFERROR(__xludf.DUMMYFUNCTION("""COMPUTED_VALUE"""),45244.0)</f>
        <v>45244</v>
      </c>
      <c r="D205" s="14" t="str">
        <f>IFERROR(__xludf.DUMMYFUNCTION("""COMPUTED_VALUE"""),"H")</f>
        <v>H</v>
      </c>
      <c r="E205" s="14" t="str">
        <f>IFERROR(__xludf.DUMMYFUNCTION("""COMPUTED_VALUE"""),"Korea, Republic of")</f>
        <v>Korea, Republic of</v>
      </c>
      <c r="F205" s="16" t="str">
        <f>IFERROR(__xludf.DUMMYFUNCTION("""COMPUTED_VALUE"""),"Control Union")</f>
        <v>Control Union</v>
      </c>
    </row>
    <row r="206">
      <c r="A206" s="14" t="str">
        <f>IFERROR(__xludf.DUMMYFUNCTION("""COMPUTED_VALUE"""),"Kai Khim Aw")</f>
        <v>Kai Khim Aw</v>
      </c>
      <c r="B206" s="14" t="str">
        <f>IFERROR(__xludf.DUMMYFUNCTION("""COMPUTED_VALUE"""),"2023-AT-C177")</f>
        <v>2023-AT-C177</v>
      </c>
      <c r="C206" s="17">
        <f>IFERROR(__xludf.DUMMYFUNCTION("""COMPUTED_VALUE"""),45244.0)</f>
        <v>45244</v>
      </c>
      <c r="D206" s="14" t="str">
        <f>IFERROR(__xludf.DUMMYFUNCTION("""COMPUTED_VALUE"""),"H")</f>
        <v>H</v>
      </c>
      <c r="E206" s="14" t="str">
        <f>IFERROR(__xludf.DUMMYFUNCTION("""COMPUTED_VALUE"""),"Singapore")</f>
        <v>Singapore</v>
      </c>
      <c r="F206" s="16" t="str">
        <f>IFERROR(__xludf.DUMMYFUNCTION("""COMPUTED_VALUE"""),"Control Union")</f>
        <v>Control Union</v>
      </c>
    </row>
    <row r="207">
      <c r="A207" s="14" t="str">
        <f>IFERROR(__xludf.DUMMYFUNCTION("""COMPUTED_VALUE"""),"Da Yeon Choi")</f>
        <v>Da Yeon Choi</v>
      </c>
      <c r="B207" s="14" t="str">
        <f>IFERROR(__xludf.DUMMYFUNCTION("""COMPUTED_VALUE"""),"2023-AT-C178")</f>
        <v>2023-AT-C178</v>
      </c>
      <c r="C207" s="17">
        <f>IFERROR(__xludf.DUMMYFUNCTION("""COMPUTED_VALUE"""),45244.0)</f>
        <v>45244</v>
      </c>
      <c r="D207" s="14" t="str">
        <f>IFERROR(__xludf.DUMMYFUNCTION("""COMPUTED_VALUE"""),"H")</f>
        <v>H</v>
      </c>
      <c r="E207" s="14" t="str">
        <f>IFERROR(__xludf.DUMMYFUNCTION("""COMPUTED_VALUE"""),"Korea, Republic of")</f>
        <v>Korea, Republic of</v>
      </c>
      <c r="F207" s="16" t="str">
        <f>IFERROR(__xludf.DUMMYFUNCTION("""COMPUTED_VALUE"""),"Control Union")</f>
        <v>Control Union</v>
      </c>
    </row>
    <row r="208">
      <c r="A208" s="14" t="str">
        <f>IFERROR(__xludf.DUMMYFUNCTION("""COMPUTED_VALUE"""),"Lina Chen")</f>
        <v>Lina Chen</v>
      </c>
      <c r="B208" s="14" t="str">
        <f>IFERROR(__xludf.DUMMYFUNCTION("""COMPUTED_VALUE"""),"2023-AT-C179")</f>
        <v>2023-AT-C179</v>
      </c>
      <c r="C208" s="17">
        <f>IFERROR(__xludf.DUMMYFUNCTION("""COMPUTED_VALUE"""),45244.0)</f>
        <v>45244</v>
      </c>
      <c r="D208" s="14" t="str">
        <f>IFERROR(__xludf.DUMMYFUNCTION("""COMPUTED_VALUE"""),"H")</f>
        <v>H</v>
      </c>
      <c r="E208" s="14" t="str">
        <f>IFERROR(__xludf.DUMMYFUNCTION("""COMPUTED_VALUE"""),"China")</f>
        <v>China</v>
      </c>
      <c r="F208" s="16" t="str">
        <f>IFERROR(__xludf.DUMMYFUNCTION("""COMPUTED_VALUE"""),"Bureau Veritas")</f>
        <v>Bureau Veritas</v>
      </c>
    </row>
    <row r="209">
      <c r="A209" s="14" t="str">
        <f>IFERROR(__xludf.DUMMYFUNCTION("""COMPUTED_VALUE"""),"İPEK KEPECİ")</f>
        <v>İPEK KEPECİ</v>
      </c>
      <c r="B209" s="14" t="str">
        <f>IFERROR(__xludf.DUMMYFUNCTION("""COMPUTED_VALUE"""),"2023-AT-C180")</f>
        <v>2023-AT-C180</v>
      </c>
      <c r="C209" s="17">
        <f>IFERROR(__xludf.DUMMYFUNCTION("""COMPUTED_VALUE"""),45244.0)</f>
        <v>45244</v>
      </c>
      <c r="D209" s="14" t="str">
        <f>IFERROR(__xludf.DUMMYFUNCTION("""COMPUTED_VALUE"""),"H")</f>
        <v>H</v>
      </c>
      <c r="E209" s="14" t="str">
        <f>IFERROR(__xludf.DUMMYFUNCTION("""COMPUTED_VALUE"""),"Turkiye")</f>
        <v>Turkiye</v>
      </c>
      <c r="F209" s="16" t="str">
        <f>IFERROR(__xludf.DUMMYFUNCTION("""COMPUTED_VALUE"""),"Bureau Veritas")</f>
        <v>Bureau Veritas</v>
      </c>
    </row>
    <row r="210">
      <c r="A210" s="14" t="str">
        <f>IFERROR(__xludf.DUMMYFUNCTION("""COMPUTED_VALUE"""),"Irem Uslu")</f>
        <v>Irem Uslu</v>
      </c>
      <c r="B210" s="14" t="str">
        <f>IFERROR(__xludf.DUMMYFUNCTION("""COMPUTED_VALUE"""),"2023-AT-C181")</f>
        <v>2023-AT-C181</v>
      </c>
      <c r="C210" s="17">
        <f>IFERROR(__xludf.DUMMYFUNCTION("""COMPUTED_VALUE"""),45244.0)</f>
        <v>45244</v>
      </c>
      <c r="D210" s="14" t="str">
        <f>IFERROR(__xludf.DUMMYFUNCTION("""COMPUTED_VALUE"""),"H")</f>
        <v>H</v>
      </c>
      <c r="E210" s="14"/>
      <c r="F210" s="16" t="str">
        <f>IFERROR(__xludf.DUMMYFUNCTION("""COMPUTED_VALUE"""),"Demeter Kalite Egitim ve Danismanlik Hizmetleri Tic. Ltd. Sti.")</f>
        <v>Demeter Kalite Egitim ve Danismanlik Hizmetleri Tic. Ltd. Sti.</v>
      </c>
    </row>
    <row r="211">
      <c r="A211" s="14" t="str">
        <f>IFERROR(__xludf.DUMMYFUNCTION("""COMPUTED_VALUE"""),"Mohd Shauki Mohd Ghazali")</f>
        <v>Mohd Shauki Mohd Ghazali</v>
      </c>
      <c r="B211" s="14" t="str">
        <f>IFERROR(__xludf.DUMMYFUNCTION("""COMPUTED_VALUE"""),"2023-AT-C182")</f>
        <v>2023-AT-C182</v>
      </c>
      <c r="C211" s="17">
        <f>IFERROR(__xludf.DUMMYFUNCTION("""COMPUTED_VALUE"""),45244.0)</f>
        <v>45244</v>
      </c>
      <c r="D211" s="14" t="str">
        <f>IFERROR(__xludf.DUMMYFUNCTION("""COMPUTED_VALUE"""),"H")</f>
        <v>H</v>
      </c>
      <c r="E211" s="14" t="str">
        <f>IFERROR(__xludf.DUMMYFUNCTION("""COMPUTED_VALUE"""),"Malaysia")</f>
        <v>Malaysia</v>
      </c>
      <c r="F211" s="16" t="str">
        <f>IFERROR(__xludf.DUMMYFUNCTION("""COMPUTED_VALUE"""),"DQS")</f>
        <v>DQS</v>
      </c>
    </row>
    <row r="212">
      <c r="A212" s="14" t="str">
        <f>IFERROR(__xludf.DUMMYFUNCTION("""COMPUTED_VALUE"""),"Rafidah Subhan")</f>
        <v>Rafidah Subhan</v>
      </c>
      <c r="B212" s="14" t="str">
        <f>IFERROR(__xludf.DUMMYFUNCTION("""COMPUTED_VALUE"""),"2023-AT-C183")</f>
        <v>2023-AT-C183</v>
      </c>
      <c r="C212" s="17">
        <f>IFERROR(__xludf.DUMMYFUNCTION("""COMPUTED_VALUE"""),45244.0)</f>
        <v>45244</v>
      </c>
      <c r="D212" s="14" t="str">
        <f>IFERROR(__xludf.DUMMYFUNCTION("""COMPUTED_VALUE"""),"H")</f>
        <v>H</v>
      </c>
      <c r="E212" s="14" t="str">
        <f>IFERROR(__xludf.DUMMYFUNCTION("""COMPUTED_VALUE"""),"Singapore")</f>
        <v>Singapore</v>
      </c>
      <c r="F212" s="16" t="str">
        <f>IFERROR(__xludf.DUMMYFUNCTION("""COMPUTED_VALUE"""),"Control Union")</f>
        <v>Control Union</v>
      </c>
    </row>
    <row r="213">
      <c r="A213" s="14" t="str">
        <f>IFERROR(__xludf.DUMMYFUNCTION("""COMPUTED_VALUE"""),"Seung Hwan Seo")</f>
        <v>Seung Hwan Seo</v>
      </c>
      <c r="B213" s="14" t="str">
        <f>IFERROR(__xludf.DUMMYFUNCTION("""COMPUTED_VALUE"""),"2023-AT-C184")</f>
        <v>2023-AT-C184</v>
      </c>
      <c r="C213" s="17">
        <f>IFERROR(__xludf.DUMMYFUNCTION("""COMPUTED_VALUE"""),45245.0)</f>
        <v>45245</v>
      </c>
      <c r="D213" s="14" t="str">
        <f>IFERROR(__xludf.DUMMYFUNCTION("""COMPUTED_VALUE"""),"H")</f>
        <v>H</v>
      </c>
      <c r="E213" s="14" t="str">
        <f>IFERROR(__xludf.DUMMYFUNCTION("""COMPUTED_VALUE"""),"Korea, Republic of")</f>
        <v>Korea, Republic of</v>
      </c>
      <c r="F213" s="16" t="str">
        <f>IFERROR(__xludf.DUMMYFUNCTION("""COMPUTED_VALUE"""),"Control Union")</f>
        <v>Control Union</v>
      </c>
    </row>
    <row r="214">
      <c r="A214" s="14" t="str">
        <f>IFERROR(__xludf.DUMMYFUNCTION("""COMPUTED_VALUE"""),"RESUL İPEK")</f>
        <v>RESUL İPEK</v>
      </c>
      <c r="B214" s="14" t="str">
        <f>IFERROR(__xludf.DUMMYFUNCTION("""COMPUTED_VALUE"""),"2023-AT-C185")</f>
        <v>2023-AT-C185</v>
      </c>
      <c r="C214" s="17">
        <f>IFERROR(__xludf.DUMMYFUNCTION("""COMPUTED_VALUE"""),45246.0)</f>
        <v>45246</v>
      </c>
      <c r="D214" s="14" t="str">
        <f>IFERROR(__xludf.DUMMYFUNCTION("""COMPUTED_VALUE"""),"H")</f>
        <v>H</v>
      </c>
      <c r="E214" s="14" t="str">
        <f>IFERROR(__xludf.DUMMYFUNCTION("""COMPUTED_VALUE"""),"Turkiye")</f>
        <v>Turkiye</v>
      </c>
      <c r="F214" s="16" t="str">
        <f>IFERROR(__xludf.DUMMYFUNCTION("""COMPUTED_VALUE"""),"Control Union")</f>
        <v>Control Union</v>
      </c>
    </row>
    <row r="215">
      <c r="A215" s="14" t="str">
        <f>IFERROR(__xludf.DUMMYFUNCTION("""COMPUTED_VALUE"""),"Jung-Feng Cheng")</f>
        <v>Jung-Feng Cheng</v>
      </c>
      <c r="B215" s="14" t="str">
        <f>IFERROR(__xludf.DUMMYFUNCTION("""COMPUTED_VALUE"""),"2023-AT-C186")</f>
        <v>2023-AT-C186</v>
      </c>
      <c r="C215" s="17">
        <f>IFERROR(__xludf.DUMMYFUNCTION("""COMPUTED_VALUE"""),45250.0)</f>
        <v>45250</v>
      </c>
      <c r="D215" s="14" t="str">
        <f>IFERROR(__xludf.DUMMYFUNCTION("""COMPUTED_VALUE"""),"H")</f>
        <v>H</v>
      </c>
      <c r="E215" s="14" t="str">
        <f>IFERROR(__xludf.DUMMYFUNCTION("""COMPUTED_VALUE"""),"Taiwan")</f>
        <v>Taiwan</v>
      </c>
      <c r="F215" s="16" t="str">
        <f>IFERROR(__xludf.DUMMYFUNCTION("""COMPUTED_VALUE"""),"Control Union")</f>
        <v>Control Union</v>
      </c>
    </row>
    <row r="216">
      <c r="A216" s="14" t="str">
        <f>IFERROR(__xludf.DUMMYFUNCTION("""COMPUTED_VALUE"""),"Florencia Kogan Moyano")</f>
        <v>Florencia Kogan Moyano</v>
      </c>
      <c r="B216" s="14" t="str">
        <f>IFERROR(__xludf.DUMMYFUNCTION("""COMPUTED_VALUE"""),"2023-AT-C187")</f>
        <v>2023-AT-C187</v>
      </c>
      <c r="C216" s="17">
        <f>IFERROR(__xludf.DUMMYFUNCTION("""COMPUTED_VALUE"""),45271.0)</f>
        <v>45271</v>
      </c>
      <c r="D216" s="14" t="str">
        <f>IFERROR(__xludf.DUMMYFUNCTION("""COMPUTED_VALUE"""),"H")</f>
        <v>H</v>
      </c>
      <c r="E216" s="14" t="str">
        <f>IFERROR(__xludf.DUMMYFUNCTION("""COMPUTED_VALUE"""),"Spain")</f>
        <v>Spain</v>
      </c>
      <c r="F216" s="16" t="str">
        <f>IFERROR(__xludf.DUMMYFUNCTION("""COMPUTED_VALUE"""),"Self Employed")</f>
        <v>Self Employed</v>
      </c>
    </row>
    <row r="217">
      <c r="A217" s="14" t="str">
        <f>IFERROR(__xludf.DUMMYFUNCTION("""COMPUTED_VALUE"""),"Ahmed Mohamed Gamal Mohamed Bahegat Elsayed")</f>
        <v>Ahmed Mohamed Gamal Mohamed Bahegat Elsayed</v>
      </c>
      <c r="B217" s="14" t="str">
        <f>IFERROR(__xludf.DUMMYFUNCTION("""COMPUTED_VALUE"""),"2023-AT-C188")</f>
        <v>2023-AT-C188</v>
      </c>
      <c r="C217" s="17">
        <f>IFERROR(__xludf.DUMMYFUNCTION("""COMPUTED_VALUE"""),45282.0)</f>
        <v>45282</v>
      </c>
      <c r="D217" s="14" t="str">
        <f>IFERROR(__xludf.DUMMYFUNCTION("""COMPUTED_VALUE"""),"H")</f>
        <v>H</v>
      </c>
      <c r="E217" s="14" t="str">
        <f>IFERROR(__xludf.DUMMYFUNCTION("""COMPUTED_VALUE"""),"Egypt")</f>
        <v>Egypt</v>
      </c>
      <c r="F217" s="16" t="str">
        <f>IFERROR(__xludf.DUMMYFUNCTION("""COMPUTED_VALUE"""),"Travelife")</f>
        <v>Travelife</v>
      </c>
    </row>
    <row r="218">
      <c r="A218" s="14" t="str">
        <f>IFERROR(__xludf.DUMMYFUNCTION("""COMPUTED_VALUE"""),"selda Yalçın Aydoğdu")</f>
        <v>selda Yalçın Aydoğdu</v>
      </c>
      <c r="B218" s="14" t="str">
        <f>IFERROR(__xludf.DUMMYFUNCTION("""COMPUTED_VALUE"""),"2024-AT-C190")</f>
        <v>2024-AT-C190</v>
      </c>
      <c r="C218" s="17">
        <f>IFERROR(__xludf.DUMMYFUNCTION("""COMPUTED_VALUE"""),45294.0)</f>
        <v>45294</v>
      </c>
      <c r="D218" s="14" t="str">
        <f>IFERROR(__xludf.DUMMYFUNCTION("""COMPUTED_VALUE"""),"H")</f>
        <v>H</v>
      </c>
      <c r="E218" s="14" t="str">
        <f>IFERROR(__xludf.DUMMYFUNCTION("""COMPUTED_VALUE"""),"Turkiye")</f>
        <v>Turkiye</v>
      </c>
      <c r="F218" s="16" t="str">
        <f>IFERROR(__xludf.DUMMYFUNCTION("""COMPUTED_VALUE"""),"Yüksel Tohum")</f>
        <v>Yüksel Tohum</v>
      </c>
    </row>
    <row r="219">
      <c r="A219" s="14" t="str">
        <f>IFERROR(__xludf.DUMMYFUNCTION("""COMPUTED_VALUE"""),"Titipong Vorathumthongdee")</f>
        <v>Titipong Vorathumthongdee</v>
      </c>
      <c r="B219" s="14" t="str">
        <f>IFERROR(__xludf.DUMMYFUNCTION("""COMPUTED_VALUE"""),"2024-AT-C191")</f>
        <v>2024-AT-C191</v>
      </c>
      <c r="C219" s="17">
        <f>IFERROR(__xludf.DUMMYFUNCTION("""COMPUTED_VALUE"""),45294.0)</f>
        <v>45294</v>
      </c>
      <c r="D219" s="14" t="str">
        <f>IFERROR(__xludf.DUMMYFUNCTION("""COMPUTED_VALUE"""),"H")</f>
        <v>H</v>
      </c>
      <c r="E219" s="14" t="str">
        <f>IFERROR(__xludf.DUMMYFUNCTION("""COMPUTED_VALUE"""),"Thailand")</f>
        <v>Thailand</v>
      </c>
      <c r="F219" s="16" t="str">
        <f>IFERROR(__xludf.DUMMYFUNCTION("""COMPUTED_VALUE"""),"Bureau Veritas")</f>
        <v>Bureau Veritas</v>
      </c>
    </row>
    <row r="220">
      <c r="A220" s="14" t="str">
        <f>IFERROR(__xludf.DUMMYFUNCTION("""COMPUTED_VALUE"""),"Diane Parnis")</f>
        <v>Diane Parnis</v>
      </c>
      <c r="B220" s="14" t="str">
        <f>IFERROR(__xludf.DUMMYFUNCTION("""COMPUTED_VALUE"""),"2024-AT-C192")</f>
        <v>2024-AT-C192</v>
      </c>
      <c r="C220" s="17">
        <f>IFERROR(__xludf.DUMMYFUNCTION("""COMPUTED_VALUE"""),45294.0)</f>
        <v>45294</v>
      </c>
      <c r="D220" s="14" t="str">
        <f>IFERROR(__xludf.DUMMYFUNCTION("""COMPUTED_VALUE"""),"H")</f>
        <v>H</v>
      </c>
      <c r="E220" s="14" t="str">
        <f>IFERROR(__xludf.DUMMYFUNCTION("""COMPUTED_VALUE"""),"Malta")</f>
        <v>Malta</v>
      </c>
      <c r="F220" s="16" t="str">
        <f>IFERROR(__xludf.DUMMYFUNCTION("""COMPUTED_VALUE"""),"Malta Tourism Authority")</f>
        <v>Malta Tourism Authority</v>
      </c>
    </row>
    <row r="221">
      <c r="A221" s="14" t="str">
        <f>IFERROR(__xludf.DUMMYFUNCTION("""COMPUTED_VALUE"""),"Daisuke Inoyama")</f>
        <v>Daisuke Inoyama</v>
      </c>
      <c r="B221" s="14" t="str">
        <f>IFERROR(__xludf.DUMMYFUNCTION("""COMPUTED_VALUE"""),"2024-AT-C193")</f>
        <v>2024-AT-C193</v>
      </c>
      <c r="C221" s="17">
        <f>IFERROR(__xludf.DUMMYFUNCTION("""COMPUTED_VALUE"""),45294.0)</f>
        <v>45294</v>
      </c>
      <c r="D221" s="14" t="str">
        <f>IFERROR(__xludf.DUMMYFUNCTION("""COMPUTED_VALUE"""),"H")</f>
        <v>H</v>
      </c>
      <c r="E221" s="14" t="str">
        <f>IFERROR(__xludf.DUMMYFUNCTION("""COMPUTED_VALUE"""),"Japan")</f>
        <v>Japan</v>
      </c>
      <c r="F221" s="16" t="str">
        <f>IFERROR(__xludf.DUMMYFUNCTION("""COMPUTED_VALUE"""),"Control Union")</f>
        <v>Control Union</v>
      </c>
    </row>
    <row r="222">
      <c r="A222" s="14" t="str">
        <f>IFERROR(__xludf.DUMMYFUNCTION("""COMPUTED_VALUE"""),"HATİCE DİCLE GÜNDEŞ")</f>
        <v>HATİCE DİCLE GÜNDEŞ</v>
      </c>
      <c r="B222" s="14" t="str">
        <f>IFERROR(__xludf.DUMMYFUNCTION("""COMPUTED_VALUE"""),"2024-AT-C194")</f>
        <v>2024-AT-C194</v>
      </c>
      <c r="C222" s="17">
        <f>IFERROR(__xludf.DUMMYFUNCTION("""COMPUTED_VALUE"""),45294.0)</f>
        <v>45294</v>
      </c>
      <c r="D222" s="14" t="str">
        <f>IFERROR(__xludf.DUMMYFUNCTION("""COMPUTED_VALUE"""),"H")</f>
        <v>H</v>
      </c>
      <c r="E222" s="14" t="str">
        <f>IFERROR(__xludf.DUMMYFUNCTION("""COMPUTED_VALUE"""),"Turkiye")</f>
        <v>Turkiye</v>
      </c>
      <c r="F222" s="16" t="str">
        <f>IFERROR(__xludf.DUMMYFUNCTION("""COMPUTED_VALUE"""),"Self Employed")</f>
        <v>Self Employed</v>
      </c>
    </row>
    <row r="223">
      <c r="A223" s="14" t="str">
        <f>IFERROR(__xludf.DUMMYFUNCTION("""COMPUTED_VALUE"""),"Berfin Gündeş")</f>
        <v>Berfin Gündeş</v>
      </c>
      <c r="B223" s="14" t="str">
        <f>IFERROR(__xludf.DUMMYFUNCTION("""COMPUTED_VALUE"""),"2024-AT-C195")</f>
        <v>2024-AT-C195</v>
      </c>
      <c r="C223" s="17">
        <f>IFERROR(__xludf.DUMMYFUNCTION("""COMPUTED_VALUE"""),45294.0)</f>
        <v>45294</v>
      </c>
      <c r="D223" s="14" t="str">
        <f>IFERROR(__xludf.DUMMYFUNCTION("""COMPUTED_VALUE"""),"H")</f>
        <v>H</v>
      </c>
      <c r="E223" s="14" t="str">
        <f>IFERROR(__xludf.DUMMYFUNCTION("""COMPUTED_VALUE"""),"Turkiye")</f>
        <v>Turkiye</v>
      </c>
      <c r="F223" s="16" t="str">
        <f>IFERROR(__xludf.DUMMYFUNCTION("""COMPUTED_VALUE"""),"Self Employed")</f>
        <v>Self Employed</v>
      </c>
    </row>
    <row r="224">
      <c r="A224" s="14" t="str">
        <f>IFERROR(__xludf.DUMMYFUNCTION("""COMPUTED_VALUE"""),"Herdi Andrariladchi")</f>
        <v>Herdi Andrariladchi</v>
      </c>
      <c r="B224" s="14" t="str">
        <f>IFERROR(__xludf.DUMMYFUNCTION("""COMPUTED_VALUE"""),"2024-AT-C196")</f>
        <v>2024-AT-C196</v>
      </c>
      <c r="C224" s="17">
        <f>IFERROR(__xludf.DUMMYFUNCTION("""COMPUTED_VALUE"""),45294.0)</f>
        <v>45294</v>
      </c>
      <c r="D224" s="14" t="str">
        <f>IFERROR(__xludf.DUMMYFUNCTION("""COMPUTED_VALUE"""),"H")</f>
        <v>H</v>
      </c>
      <c r="E224" s="14" t="str">
        <f>IFERROR(__xludf.DUMMYFUNCTION("""COMPUTED_VALUE"""),"Indonesia")</f>
        <v>Indonesia</v>
      </c>
      <c r="F224" s="16" t="str">
        <f>IFERROR(__xludf.DUMMYFUNCTION("""COMPUTED_VALUE"""),"GSTC")</f>
        <v>GSTC</v>
      </c>
    </row>
    <row r="225">
      <c r="A225" s="14" t="str">
        <f>IFERROR(__xludf.DUMMYFUNCTION("""COMPUTED_VALUE"""),"Federico Fiorentino")</f>
        <v>Federico Fiorentino</v>
      </c>
      <c r="B225" s="14" t="str">
        <f>IFERROR(__xludf.DUMMYFUNCTION("""COMPUTED_VALUE"""),"2024-AT-C197")</f>
        <v>2024-AT-C197</v>
      </c>
      <c r="C225" s="17">
        <f>IFERROR(__xludf.DUMMYFUNCTION("""COMPUTED_VALUE"""),45294.0)</f>
        <v>45294</v>
      </c>
      <c r="D225" s="14" t="str">
        <f>IFERROR(__xludf.DUMMYFUNCTION("""COMPUTED_VALUE"""),"H")</f>
        <v>H</v>
      </c>
      <c r="E225" s="14" t="str">
        <f>IFERROR(__xludf.DUMMYFUNCTION("""COMPUTED_VALUE"""),"Malta")</f>
        <v>Malta</v>
      </c>
      <c r="F225" s="16" t="str">
        <f>IFERROR(__xludf.DUMMYFUNCTION("""COMPUTED_VALUE"""),"Malta Tourism Authority")</f>
        <v>Malta Tourism Authority</v>
      </c>
    </row>
    <row r="226">
      <c r="A226" s="14" t="str">
        <f>IFERROR(__xludf.DUMMYFUNCTION("""COMPUTED_VALUE"""),"Pruktivud Chattaviriya")</f>
        <v>Pruktivud Chattaviriya</v>
      </c>
      <c r="B226" s="14" t="str">
        <f>IFERROR(__xludf.DUMMYFUNCTION("""COMPUTED_VALUE"""),"2024-AT-C198")</f>
        <v>2024-AT-C198</v>
      </c>
      <c r="C226" s="17">
        <f>IFERROR(__xludf.DUMMYFUNCTION("""COMPUTED_VALUE"""),45294.0)</f>
        <v>45294</v>
      </c>
      <c r="D226" s="14" t="str">
        <f>IFERROR(__xludf.DUMMYFUNCTION("""COMPUTED_VALUE"""),"H")</f>
        <v>H</v>
      </c>
      <c r="E226" s="14" t="str">
        <f>IFERROR(__xludf.DUMMYFUNCTION("""COMPUTED_VALUE"""),"Thailand")</f>
        <v>Thailand</v>
      </c>
      <c r="F226" s="16" t="str">
        <f>IFERROR(__xludf.DUMMYFUNCTION("""COMPUTED_VALUE"""),"ROYALCERT")</f>
        <v>ROYALCERT</v>
      </c>
    </row>
    <row r="227">
      <c r="A227" s="14" t="str">
        <f>IFERROR(__xludf.DUMMYFUNCTION("""COMPUTED_VALUE"""),"Maria Liontaki")</f>
        <v>Maria Liontaki</v>
      </c>
      <c r="B227" s="14" t="str">
        <f>IFERROR(__xludf.DUMMYFUNCTION("""COMPUTED_VALUE"""),"2024-AT-C199")</f>
        <v>2024-AT-C199</v>
      </c>
      <c r="C227" s="17">
        <f>IFERROR(__xludf.DUMMYFUNCTION("""COMPUTED_VALUE"""),45294.0)</f>
        <v>45294</v>
      </c>
      <c r="D227" s="14" t="str">
        <f>IFERROR(__xludf.DUMMYFUNCTION("""COMPUTED_VALUE"""),"H")</f>
        <v>H</v>
      </c>
      <c r="E227" s="14" t="str">
        <f>IFERROR(__xludf.DUMMYFUNCTION("""COMPUTED_VALUE"""),"Greece")</f>
        <v>Greece</v>
      </c>
      <c r="F227" s="16" t="str">
        <f>IFERROR(__xludf.DUMMYFUNCTION("""COMPUTED_VALUE"""),"TUV")</f>
        <v>TUV</v>
      </c>
    </row>
    <row r="228">
      <c r="A228" s="14" t="str">
        <f>IFERROR(__xludf.DUMMYFUNCTION("""COMPUTED_VALUE"""),"Valdir César Pereira Alves")</f>
        <v>Valdir César Pereira Alves</v>
      </c>
      <c r="B228" s="14" t="str">
        <f>IFERROR(__xludf.DUMMYFUNCTION("""COMPUTED_VALUE"""),"2024-AT-C200")</f>
        <v>2024-AT-C200</v>
      </c>
      <c r="C228" s="17">
        <f>IFERROR(__xludf.DUMMYFUNCTION("""COMPUTED_VALUE"""),45294.0)</f>
        <v>45294</v>
      </c>
      <c r="D228" s="14" t="str">
        <f>IFERROR(__xludf.DUMMYFUNCTION("""COMPUTED_VALUE"""),"H")</f>
        <v>H</v>
      </c>
      <c r="E228" s="14" t="str">
        <f>IFERROR(__xludf.DUMMYFUNCTION("""COMPUTED_VALUE"""),"Cabo Verde")</f>
        <v>Cabo Verde</v>
      </c>
      <c r="F228" s="16" t="str">
        <f>IFERROR(__xludf.DUMMYFUNCTION("""COMPUTED_VALUE"""),"IGQPI (Institute for Quality Management and Intellectual Property)")</f>
        <v>IGQPI (Institute for Quality Management and Intellectual Property)</v>
      </c>
    </row>
    <row r="229">
      <c r="A229" s="14" t="str">
        <f>IFERROR(__xludf.DUMMYFUNCTION("""COMPUTED_VALUE"""),"UXUE AZPIROZ")</f>
        <v>UXUE AZPIROZ</v>
      </c>
      <c r="B229" s="14" t="str">
        <f>IFERROR(__xludf.DUMMYFUNCTION("""COMPUTED_VALUE"""),"2024-AT-C201")</f>
        <v>2024-AT-C201</v>
      </c>
      <c r="C229" s="17">
        <f>IFERROR(__xludf.DUMMYFUNCTION("""COMPUTED_VALUE"""),45294.0)</f>
        <v>45294</v>
      </c>
      <c r="D229" s="14" t="str">
        <f>IFERROR(__xludf.DUMMYFUNCTION("""COMPUTED_VALUE"""),"H")</f>
        <v>H</v>
      </c>
      <c r="E229" s="14" t="str">
        <f>IFERROR(__xludf.DUMMYFUNCTION("""COMPUTED_VALUE"""),"Greece")</f>
        <v>Greece</v>
      </c>
      <c r="F229" s="16" t="str">
        <f>IFERROR(__xludf.DUMMYFUNCTION("""COMPUTED_VALUE"""),"TUV")</f>
        <v>TUV</v>
      </c>
    </row>
    <row r="230">
      <c r="A230" s="14" t="str">
        <f>IFERROR(__xludf.DUMMYFUNCTION("""COMPUTED_VALUE"""),"Federico Fiorentino")</f>
        <v>Federico Fiorentino</v>
      </c>
      <c r="B230" s="14" t="str">
        <f>IFERROR(__xludf.DUMMYFUNCTION("""COMPUTED_VALUE"""),"2024-AT-C202")</f>
        <v>2024-AT-C202</v>
      </c>
      <c r="C230" s="17">
        <f>IFERROR(__xludf.DUMMYFUNCTION("""COMPUTED_VALUE"""),45296.0)</f>
        <v>45296</v>
      </c>
      <c r="D230" s="14" t="str">
        <f>IFERROR(__xludf.DUMMYFUNCTION("""COMPUTED_VALUE"""),"TO")</f>
        <v>TO</v>
      </c>
      <c r="E230" s="14" t="str">
        <f>IFERROR(__xludf.DUMMYFUNCTION("""COMPUTED_VALUE"""),"Malta")</f>
        <v>Malta</v>
      </c>
      <c r="F230" s="16" t="str">
        <f>IFERROR(__xludf.DUMMYFUNCTION("""COMPUTED_VALUE"""),"Malta Tourism Authority")</f>
        <v>Malta Tourism Authority</v>
      </c>
    </row>
    <row r="231">
      <c r="A231" s="14" t="str">
        <f>IFERROR(__xludf.DUMMYFUNCTION("""COMPUTED_VALUE"""),"RONNIE ANTONIO DOS SANTOS LIMA")</f>
        <v>RONNIE ANTONIO DOS SANTOS LIMA</v>
      </c>
      <c r="B231" s="14" t="str">
        <f>IFERROR(__xludf.DUMMYFUNCTION("""COMPUTED_VALUE"""),"2024-AT-C203")</f>
        <v>2024-AT-C203</v>
      </c>
      <c r="C231" s="17">
        <f>IFERROR(__xludf.DUMMYFUNCTION("""COMPUTED_VALUE"""),45296.0)</f>
        <v>45296</v>
      </c>
      <c r="D231" s="14" t="str">
        <f>IFERROR(__xludf.DUMMYFUNCTION("""COMPUTED_VALUE"""),"H")</f>
        <v>H</v>
      </c>
      <c r="E231" s="14" t="str">
        <f>IFERROR(__xludf.DUMMYFUNCTION("""COMPUTED_VALUE"""),"Cabo Verde")</f>
        <v>Cabo Verde</v>
      </c>
      <c r="F231" s="16" t="str">
        <f>IFERROR(__xludf.DUMMYFUNCTION("""COMPUTED_VALUE"""),"Ministry of Agriculture and Environment (MAA)")</f>
        <v>Ministry of Agriculture and Environment (MAA)</v>
      </c>
    </row>
    <row r="232">
      <c r="A232" s="14" t="str">
        <f>IFERROR(__xludf.DUMMYFUNCTION("""COMPUTED_VALUE"""),"STAMATINA SYRIGOU")</f>
        <v>STAMATINA SYRIGOU</v>
      </c>
      <c r="B232" s="14" t="str">
        <f>IFERROR(__xludf.DUMMYFUNCTION("""COMPUTED_VALUE"""),"2024-AT-C204")</f>
        <v>2024-AT-C204</v>
      </c>
      <c r="C232" s="17">
        <f>IFERROR(__xludf.DUMMYFUNCTION("""COMPUTED_VALUE"""),45296.0)</f>
        <v>45296</v>
      </c>
      <c r="D232" s="14" t="str">
        <f>IFERROR(__xludf.DUMMYFUNCTION("""COMPUTED_VALUE"""),"H")</f>
        <v>H</v>
      </c>
      <c r="E232" s="14" t="str">
        <f>IFERROR(__xludf.DUMMYFUNCTION("""COMPUTED_VALUE"""),"Greece")</f>
        <v>Greece</v>
      </c>
      <c r="F232" s="16" t="str">
        <f>IFERROR(__xludf.DUMMYFUNCTION("""COMPUTED_VALUE"""),"Hellenic Society For The Protection of Nature - GREEN KEY")</f>
        <v>Hellenic Society For The Protection of Nature - GREEN KEY</v>
      </c>
    </row>
    <row r="233">
      <c r="A233" s="14" t="str">
        <f>IFERROR(__xludf.DUMMYFUNCTION("""COMPUTED_VALUE"""),"Aulkine Monteiro da Silva")</f>
        <v>Aulkine Monteiro da Silva</v>
      </c>
      <c r="B233" s="14" t="str">
        <f>IFERROR(__xludf.DUMMYFUNCTION("""COMPUTED_VALUE"""),"2024-AT-C205")</f>
        <v>2024-AT-C205</v>
      </c>
      <c r="C233" s="17">
        <f>IFERROR(__xludf.DUMMYFUNCTION("""COMPUTED_VALUE"""),45296.0)</f>
        <v>45296</v>
      </c>
      <c r="D233" s="14" t="str">
        <f>IFERROR(__xludf.DUMMYFUNCTION("""COMPUTED_VALUE"""),"H")</f>
        <v>H</v>
      </c>
      <c r="E233" s="14" t="str">
        <f>IFERROR(__xludf.DUMMYFUNCTION("""COMPUTED_VALUE"""),"Cabo Verde")</f>
        <v>Cabo Verde</v>
      </c>
      <c r="F233" s="16" t="str">
        <f>IFERROR(__xludf.DUMMYFUNCTION("""COMPUTED_VALUE"""),"IGQPI (Institute for Quality Management and Intellectual Property)")</f>
        <v>IGQPI (Institute for Quality Management and Intellectual Property)</v>
      </c>
    </row>
    <row r="234">
      <c r="A234" s="14" t="str">
        <f>IFERROR(__xludf.DUMMYFUNCTION("""COMPUTED_VALUE"""),"Yasin Ekizoğlu")</f>
        <v>Yasin Ekizoğlu</v>
      </c>
      <c r="B234" s="14" t="str">
        <f>IFERROR(__xludf.DUMMYFUNCTION("""COMPUTED_VALUE"""),"2024-AT-C206")</f>
        <v>2024-AT-C206</v>
      </c>
      <c r="C234" s="17">
        <f>IFERROR(__xludf.DUMMYFUNCTION("""COMPUTED_VALUE"""),45296.0)</f>
        <v>45296</v>
      </c>
      <c r="D234" s="14" t="str">
        <f>IFERROR(__xludf.DUMMYFUNCTION("""COMPUTED_VALUE"""),"H")</f>
        <v>H</v>
      </c>
      <c r="E234" s="14" t="str">
        <f>IFERROR(__xludf.DUMMYFUNCTION("""COMPUTED_VALUE"""),"Turkiye")</f>
        <v>Turkiye</v>
      </c>
      <c r="F234" s="16" t="str">
        <f>IFERROR(__xludf.DUMMYFUNCTION("""COMPUTED_VALUE"""),"DQS")</f>
        <v>DQS</v>
      </c>
    </row>
    <row r="235">
      <c r="A235" s="14" t="str">
        <f>IFERROR(__xludf.DUMMYFUNCTION("""COMPUTED_VALUE"""),"Şadiye Yasemin Oker")</f>
        <v>Şadiye Yasemin Oker</v>
      </c>
      <c r="B235" s="14" t="str">
        <f>IFERROR(__xludf.DUMMYFUNCTION("""COMPUTED_VALUE"""),"2024-AT-C207")</f>
        <v>2024-AT-C207</v>
      </c>
      <c r="C235" s="17">
        <f>IFERROR(__xludf.DUMMYFUNCTION("""COMPUTED_VALUE"""),45300.0)</f>
        <v>45300</v>
      </c>
      <c r="D235" s="14" t="str">
        <f>IFERROR(__xludf.DUMMYFUNCTION("""COMPUTED_VALUE"""),"H")</f>
        <v>H</v>
      </c>
      <c r="E235" s="14" t="str">
        <f>IFERROR(__xludf.DUMMYFUNCTION("""COMPUTED_VALUE"""),"Turkiye")</f>
        <v>Turkiye</v>
      </c>
      <c r="F235" s="16" t="str">
        <f>IFERROR(__xludf.DUMMYFUNCTION("""COMPUTED_VALUE"""),"Self Employed")</f>
        <v>Self Employed</v>
      </c>
    </row>
    <row r="236">
      <c r="A236" s="14" t="str">
        <f>IFERROR(__xludf.DUMMYFUNCTION("""COMPUTED_VALUE"""),"Hamza Akdağ")</f>
        <v>Hamza Akdağ</v>
      </c>
      <c r="B236" s="14" t="str">
        <f>IFERROR(__xludf.DUMMYFUNCTION("""COMPUTED_VALUE"""),"2024-AT-C208")</f>
        <v>2024-AT-C208</v>
      </c>
      <c r="C236" s="17">
        <f>IFERROR(__xludf.DUMMYFUNCTION("""COMPUTED_VALUE"""),45307.0)</f>
        <v>45307</v>
      </c>
      <c r="D236" s="14" t="str">
        <f>IFERROR(__xludf.DUMMYFUNCTION("""COMPUTED_VALUE"""),"H")</f>
        <v>H</v>
      </c>
      <c r="E236" s="14" t="str">
        <f>IFERROR(__xludf.DUMMYFUNCTION("""COMPUTED_VALUE"""),"Turkiye")</f>
        <v>Turkiye</v>
      </c>
      <c r="F236" s="16" t="str">
        <f>IFERROR(__xludf.DUMMYFUNCTION("""COMPUTED_VALUE"""),"Self Employed")</f>
        <v>Self Employed</v>
      </c>
    </row>
    <row r="237">
      <c r="A237" s="14" t="str">
        <f>IFERROR(__xludf.DUMMYFUNCTION("""COMPUTED_VALUE"""),"MEHMET SELVER KÖPRÜ")</f>
        <v>MEHMET SELVER KÖPRÜ</v>
      </c>
      <c r="B237" s="14" t="str">
        <f>IFERROR(__xludf.DUMMYFUNCTION("""COMPUTED_VALUE"""),"2024-AT-C209")</f>
        <v>2024-AT-C209</v>
      </c>
      <c r="C237" s="17">
        <f>IFERROR(__xludf.DUMMYFUNCTION("""COMPUTED_VALUE"""),45314.0)</f>
        <v>45314</v>
      </c>
      <c r="D237" s="14" t="str">
        <f>IFERROR(__xludf.DUMMYFUNCTION("""COMPUTED_VALUE"""),"H")</f>
        <v>H</v>
      </c>
      <c r="E237" s="14" t="str">
        <f>IFERROR(__xludf.DUMMYFUNCTION("""COMPUTED_VALUE"""),"Turkiye")</f>
        <v>Turkiye</v>
      </c>
      <c r="F237" s="16" t="str">
        <f>IFERROR(__xludf.DUMMYFUNCTION("""COMPUTED_VALUE"""),"Turkish Standardization Institute")</f>
        <v>Turkish Standardization Institute</v>
      </c>
    </row>
    <row r="238">
      <c r="A238" s="14" t="str">
        <f>IFERROR(__xludf.DUMMYFUNCTION("""COMPUTED_VALUE"""),"Barış ŞEN")</f>
        <v>Barış ŞEN</v>
      </c>
      <c r="B238" s="14" t="str">
        <f>IFERROR(__xludf.DUMMYFUNCTION("""COMPUTED_VALUE"""),"2024-AT-C210")</f>
        <v>2024-AT-C210</v>
      </c>
      <c r="C238" s="17">
        <f>IFERROR(__xludf.DUMMYFUNCTION("""COMPUTED_VALUE"""),45314.0)</f>
        <v>45314</v>
      </c>
      <c r="D238" s="14" t="str">
        <f>IFERROR(__xludf.DUMMYFUNCTION("""COMPUTED_VALUE"""),"H")</f>
        <v>H</v>
      </c>
      <c r="E238" s="14" t="str">
        <f>IFERROR(__xludf.DUMMYFUNCTION("""COMPUTED_VALUE"""),"Turkiye")</f>
        <v>Turkiye</v>
      </c>
      <c r="F238" s="16" t="str">
        <f>IFERROR(__xludf.DUMMYFUNCTION("""COMPUTED_VALUE"""),"TRB International certification Ltd.")</f>
        <v>TRB International certification Ltd.</v>
      </c>
    </row>
    <row r="239">
      <c r="A239" s="14" t="str">
        <f>IFERROR(__xludf.DUMMYFUNCTION("""COMPUTED_VALUE"""),"Tuba Kaya")</f>
        <v>Tuba Kaya</v>
      </c>
      <c r="B239" s="14" t="str">
        <f>IFERROR(__xludf.DUMMYFUNCTION("""COMPUTED_VALUE"""),"2024-AT-C211")</f>
        <v>2024-AT-C211</v>
      </c>
      <c r="C239" s="17">
        <f>IFERROR(__xludf.DUMMYFUNCTION("""COMPUTED_VALUE"""),45323.0)</f>
        <v>45323</v>
      </c>
      <c r="D239" s="14" t="str">
        <f>IFERROR(__xludf.DUMMYFUNCTION("""COMPUTED_VALUE"""),"H")</f>
        <v>H</v>
      </c>
      <c r="E239" s="14" t="str">
        <f>IFERROR(__xludf.DUMMYFUNCTION("""COMPUTED_VALUE"""),"Turkiye")</f>
        <v>Turkiye</v>
      </c>
      <c r="F239" s="16" t="str">
        <f>IFERROR(__xludf.DUMMYFUNCTION("""COMPUTED_VALUE"""),"Self Employed")</f>
        <v>Self Employed</v>
      </c>
    </row>
    <row r="240">
      <c r="A240" s="14" t="str">
        <f>IFERROR(__xludf.DUMMYFUNCTION("""COMPUTED_VALUE"""),"Mehmet Bartu Kireççi")</f>
        <v>Mehmet Bartu Kireççi</v>
      </c>
      <c r="B240" s="14" t="str">
        <f>IFERROR(__xludf.DUMMYFUNCTION("""COMPUTED_VALUE"""),"2024-AT-C212")</f>
        <v>2024-AT-C212</v>
      </c>
      <c r="C240" s="17">
        <f>IFERROR(__xludf.DUMMYFUNCTION("""COMPUTED_VALUE"""),45323.0)</f>
        <v>45323</v>
      </c>
      <c r="D240" s="14" t="str">
        <f>IFERROR(__xludf.DUMMYFUNCTION("""COMPUTED_VALUE"""),"H")</f>
        <v>H</v>
      </c>
      <c r="E240" s="14" t="str">
        <f>IFERROR(__xludf.DUMMYFUNCTION("""COMPUTED_VALUE"""),"Turkiye")</f>
        <v>Turkiye</v>
      </c>
      <c r="F240" s="16" t="str">
        <f>IFERROR(__xludf.DUMMYFUNCTION("""COMPUTED_VALUE"""),"Globalis Sertifikasyon Hizmetleri ve Yatırım Sanayi Ticaret AŞ.")</f>
        <v>Globalis Sertifikasyon Hizmetleri ve Yatırım Sanayi Ticaret AŞ.</v>
      </c>
    </row>
    <row r="241">
      <c r="A241" s="14" t="str">
        <f>IFERROR(__xludf.DUMMYFUNCTION("""COMPUTED_VALUE"""),"Pei Xuan Lee")</f>
        <v>Pei Xuan Lee</v>
      </c>
      <c r="B241" s="14" t="str">
        <f>IFERROR(__xludf.DUMMYFUNCTION("""COMPUTED_VALUE"""),"2024-AT-C213")</f>
        <v>2024-AT-C213</v>
      </c>
      <c r="C241" s="17">
        <f>IFERROR(__xludf.DUMMYFUNCTION("""COMPUTED_VALUE"""),45337.0)</f>
        <v>45337</v>
      </c>
      <c r="D241" s="14" t="str">
        <f>IFERROR(__xludf.DUMMYFUNCTION("""COMPUTED_VALUE"""),"H")</f>
        <v>H</v>
      </c>
      <c r="E241" s="14" t="str">
        <f>IFERROR(__xludf.DUMMYFUNCTION("""COMPUTED_VALUE"""),"Singapore")</f>
        <v>Singapore</v>
      </c>
      <c r="F241" s="16" t="str">
        <f>IFERROR(__xludf.DUMMYFUNCTION("""COMPUTED_VALUE"""),"Control Union")</f>
        <v>Control Union</v>
      </c>
    </row>
    <row r="242">
      <c r="A242" s="14" t="str">
        <f>IFERROR(__xludf.DUMMYFUNCTION("""COMPUTED_VALUE"""),"FIRAT TOZLU")</f>
        <v>FIRAT TOZLU</v>
      </c>
      <c r="B242" s="14" t="str">
        <f>IFERROR(__xludf.DUMMYFUNCTION("""COMPUTED_VALUE"""),"2024-AT-C214")</f>
        <v>2024-AT-C214</v>
      </c>
      <c r="C242" s="17">
        <f>IFERROR(__xludf.DUMMYFUNCTION("""COMPUTED_VALUE"""),45342.0)</f>
        <v>45342</v>
      </c>
      <c r="D242" s="14" t="str">
        <f>IFERROR(__xludf.DUMMYFUNCTION("""COMPUTED_VALUE"""),"TO")</f>
        <v>TO</v>
      </c>
      <c r="E242" s="14" t="str">
        <f>IFERROR(__xludf.DUMMYFUNCTION("""COMPUTED_VALUE"""),"Turkiye")</f>
        <v>Turkiye</v>
      </c>
      <c r="F242" s="16" t="str">
        <f>IFERROR(__xludf.DUMMYFUNCTION("""COMPUTED_VALUE"""),"Self Employed")</f>
        <v>Self Employed</v>
      </c>
    </row>
    <row r="243">
      <c r="A243" s="14" t="str">
        <f>IFERROR(__xludf.DUMMYFUNCTION("""COMPUTED_VALUE"""),"Cenk Türker")</f>
        <v>Cenk Türker</v>
      </c>
      <c r="B243" s="14" t="str">
        <f>IFERROR(__xludf.DUMMYFUNCTION("""COMPUTED_VALUE"""),"2024-AT-C215")</f>
        <v>2024-AT-C215</v>
      </c>
      <c r="C243" s="17">
        <f>IFERROR(__xludf.DUMMYFUNCTION("""COMPUTED_VALUE"""),45342.0)</f>
        <v>45342</v>
      </c>
      <c r="D243" s="14" t="str">
        <f>IFERROR(__xludf.DUMMYFUNCTION("""COMPUTED_VALUE"""),"H")</f>
        <v>H</v>
      </c>
      <c r="E243" s="14" t="str">
        <f>IFERROR(__xludf.DUMMYFUNCTION("""COMPUTED_VALUE"""),"Turkiye")</f>
        <v>Turkiye</v>
      </c>
      <c r="F243" s="16" t="str">
        <f>IFERROR(__xludf.DUMMYFUNCTION("""COMPUTED_VALUE"""),"ESG Strateji Danışmanlığı ve Eğitim LTD")</f>
        <v>ESG Strateji Danışmanlığı ve Eğitim LTD</v>
      </c>
    </row>
    <row r="244">
      <c r="A244" s="14" t="str">
        <f>IFERROR(__xludf.DUMMYFUNCTION("""COMPUTED_VALUE"""),"Hoang Huy Nguyen")</f>
        <v>Hoang Huy Nguyen</v>
      </c>
      <c r="B244" s="14" t="str">
        <f>IFERROR(__xludf.DUMMYFUNCTION("""COMPUTED_VALUE"""),"2024-AT-C216")</f>
        <v>2024-AT-C216</v>
      </c>
      <c r="C244" s="17">
        <f>IFERROR(__xludf.DUMMYFUNCTION("""COMPUTED_VALUE"""),45365.0)</f>
        <v>45365</v>
      </c>
      <c r="D244" s="14" t="str">
        <f>IFERROR(__xludf.DUMMYFUNCTION("""COMPUTED_VALUE"""),"H")</f>
        <v>H</v>
      </c>
      <c r="E244" s="14" t="str">
        <f>IFERROR(__xludf.DUMMYFUNCTION("""COMPUTED_VALUE"""),"Vietnam")</f>
        <v>Vietnam</v>
      </c>
      <c r="F244" s="16" t="str">
        <f>IFERROR(__xludf.DUMMYFUNCTION("""COMPUTED_VALUE"""),"Bureau Veritas")</f>
        <v>Bureau Veritas</v>
      </c>
    </row>
    <row r="245">
      <c r="A245" s="14" t="str">
        <f>IFERROR(__xludf.DUMMYFUNCTION("""COMPUTED_VALUE"""),"Hoang Huy Nguyen")</f>
        <v>Hoang Huy Nguyen</v>
      </c>
      <c r="B245" s="14" t="str">
        <f>IFERROR(__xludf.DUMMYFUNCTION("""COMPUTED_VALUE"""),"2024-AT-C217")</f>
        <v>2024-AT-C217</v>
      </c>
      <c r="C245" s="17">
        <f>IFERROR(__xludf.DUMMYFUNCTION("""COMPUTED_VALUE"""),45365.0)</f>
        <v>45365</v>
      </c>
      <c r="D245" s="14" t="str">
        <f>IFERROR(__xludf.DUMMYFUNCTION("""COMPUTED_VALUE"""),"TO")</f>
        <v>TO</v>
      </c>
      <c r="E245" s="14" t="str">
        <f>IFERROR(__xludf.DUMMYFUNCTION("""COMPUTED_VALUE"""),"Vietnam")</f>
        <v>Vietnam</v>
      </c>
      <c r="F245" s="16" t="str">
        <f>IFERROR(__xludf.DUMMYFUNCTION("""COMPUTED_VALUE"""),"Bureau Veritas")</f>
        <v>Bureau Veritas</v>
      </c>
    </row>
    <row r="246">
      <c r="A246" s="14" t="str">
        <f>IFERROR(__xludf.DUMMYFUNCTION("""COMPUTED_VALUE"""),"MAYRA DE LOS ANGELES LLAMAS LEON")</f>
        <v>MAYRA DE LOS ANGELES LLAMAS LEON</v>
      </c>
      <c r="B246" s="14" t="str">
        <f>IFERROR(__xludf.DUMMYFUNCTION("""COMPUTED_VALUE"""),"2024-AT-C218")</f>
        <v>2024-AT-C218</v>
      </c>
      <c r="C246" s="17">
        <f>IFERROR(__xludf.DUMMYFUNCTION("""COMPUTED_VALUE"""),45377.0)</f>
        <v>45377</v>
      </c>
      <c r="D246" s="14" t="str">
        <f>IFERROR(__xludf.DUMMYFUNCTION("""COMPUTED_VALUE"""),"H")</f>
        <v>H</v>
      </c>
      <c r="E246" s="14" t="str">
        <f>IFERROR(__xludf.DUMMYFUNCTION("""COMPUTED_VALUE"""),"Mexico")</f>
        <v>Mexico</v>
      </c>
      <c r="F246" s="16" t="str">
        <f>IFERROR(__xludf.DUMMYFUNCTION("""COMPUTED_VALUE"""),"Control Union")</f>
        <v>Control Union</v>
      </c>
    </row>
    <row r="247">
      <c r="A247" s="14" t="str">
        <f>IFERROR(__xludf.DUMMYFUNCTION("""COMPUTED_VALUE"""),"FIRAT TOZLU")</f>
        <v>FIRAT TOZLU</v>
      </c>
      <c r="B247" s="14" t="str">
        <f>IFERROR(__xludf.DUMMYFUNCTION("""COMPUTED_VALUE"""),"2024-AT-C219")</f>
        <v>2024-AT-C219</v>
      </c>
      <c r="C247" s="17">
        <f>IFERROR(__xludf.DUMMYFUNCTION("""COMPUTED_VALUE"""),45384.0)</f>
        <v>45384</v>
      </c>
      <c r="D247" s="14" t="str">
        <f>IFERROR(__xludf.DUMMYFUNCTION("""COMPUTED_VALUE"""),"H")</f>
        <v>H</v>
      </c>
      <c r="E247" s="14" t="str">
        <f>IFERROR(__xludf.DUMMYFUNCTION("""COMPUTED_VALUE"""),"Turkiye")</f>
        <v>Turkiye</v>
      </c>
      <c r="F247" s="16" t="str">
        <f>IFERROR(__xludf.DUMMYFUNCTION("""COMPUTED_VALUE"""),"Self Employed")</f>
        <v>Self Employed</v>
      </c>
    </row>
    <row r="248">
      <c r="A248" s="14" t="str">
        <f>IFERROR(__xludf.DUMMYFUNCTION("""COMPUTED_VALUE"""),"M. Recai Yılmaz")</f>
        <v>M. Recai Yılmaz</v>
      </c>
      <c r="B248" s="14" t="str">
        <f>IFERROR(__xludf.DUMMYFUNCTION("""COMPUTED_VALUE"""),"2024-AT-C220")</f>
        <v>2024-AT-C220</v>
      </c>
      <c r="C248" s="17">
        <f>IFERROR(__xludf.DUMMYFUNCTION("""COMPUTED_VALUE"""),45387.0)</f>
        <v>45387</v>
      </c>
      <c r="D248" s="14" t="str">
        <f>IFERROR(__xludf.DUMMYFUNCTION("""COMPUTED_VALUE"""),"H")</f>
        <v>H</v>
      </c>
      <c r="E248" s="14" t="str">
        <f>IFERROR(__xludf.DUMMYFUNCTION("""COMPUTED_VALUE"""),"Turkiye")</f>
        <v>Turkiye</v>
      </c>
      <c r="F248" s="16" t="str">
        <f>IFERROR(__xludf.DUMMYFUNCTION("""COMPUTED_VALUE"""),"ISIS (International Safety Inspection Service)")</f>
        <v>ISIS (International Safety Inspection Service)</v>
      </c>
    </row>
    <row r="249">
      <c r="A249" s="14" t="str">
        <f>IFERROR(__xludf.DUMMYFUNCTION("""COMPUTED_VALUE"""),"Mehmet Hulusi Ada")</f>
        <v>Mehmet Hulusi Ada</v>
      </c>
      <c r="B249" s="14" t="str">
        <f>IFERROR(__xludf.DUMMYFUNCTION("""COMPUTED_VALUE"""),"2024-AT-C221")</f>
        <v>2024-AT-C221</v>
      </c>
      <c r="C249" s="17">
        <f>IFERROR(__xludf.DUMMYFUNCTION("""COMPUTED_VALUE"""),45418.0)</f>
        <v>45418</v>
      </c>
      <c r="D249" s="14" t="str">
        <f>IFERROR(__xludf.DUMMYFUNCTION("""COMPUTED_VALUE"""),"H")</f>
        <v>H</v>
      </c>
      <c r="E249" s="14" t="str">
        <f>IFERROR(__xludf.DUMMYFUNCTION("""COMPUTED_VALUE"""),"Turkiye")</f>
        <v>Turkiye</v>
      </c>
      <c r="F249" s="16" t="str">
        <f>IFERROR(__xludf.DUMMYFUNCTION("""COMPUTED_VALUE"""),"ROYALCERT")</f>
        <v>ROYALCERT</v>
      </c>
    </row>
    <row r="250">
      <c r="A250" s="14" t="str">
        <f>IFERROR(__xludf.DUMMYFUNCTION("""COMPUTED_VALUE"""),"DENİZ ASLAN")</f>
        <v>DENİZ ASLAN</v>
      </c>
      <c r="B250" s="14" t="str">
        <f>IFERROR(__xludf.DUMMYFUNCTION("""COMPUTED_VALUE"""),"2024-AT-C222")</f>
        <v>2024-AT-C222</v>
      </c>
      <c r="C250" s="17">
        <f>IFERROR(__xludf.DUMMYFUNCTION("""COMPUTED_VALUE"""),45418.0)</f>
        <v>45418</v>
      </c>
      <c r="D250" s="14" t="str">
        <f>IFERROR(__xludf.DUMMYFUNCTION("""COMPUTED_VALUE"""),"H")</f>
        <v>H</v>
      </c>
      <c r="E250" s="14" t="str">
        <f>IFERROR(__xludf.DUMMYFUNCTION("""COMPUTED_VALUE"""),"Turkiye")</f>
        <v>Turkiye</v>
      </c>
      <c r="F250" s="16" t="str">
        <f>IFERROR(__xludf.DUMMYFUNCTION("""COMPUTED_VALUE"""),"ROYALCERT")</f>
        <v>ROYALCERT</v>
      </c>
    </row>
    <row r="251">
      <c r="A251" s="14" t="str">
        <f>IFERROR(__xludf.DUMMYFUNCTION("""COMPUTED_VALUE"""),"celalettin uysal")</f>
        <v>celalettin uysal</v>
      </c>
      <c r="B251" s="14" t="str">
        <f>IFERROR(__xludf.DUMMYFUNCTION("""COMPUTED_VALUE"""),"2024-AT-C223")</f>
        <v>2024-AT-C223</v>
      </c>
      <c r="C251" s="17">
        <f>IFERROR(__xludf.DUMMYFUNCTION("""COMPUTED_VALUE"""),45426.0)</f>
        <v>45426</v>
      </c>
      <c r="D251" s="14" t="str">
        <f>IFERROR(__xludf.DUMMYFUNCTION("""COMPUTED_VALUE"""),"H")</f>
        <v>H</v>
      </c>
      <c r="E251" s="14" t="str">
        <f>IFERROR(__xludf.DUMMYFUNCTION("""COMPUTED_VALUE"""),"Turkiye")</f>
        <v>Turkiye</v>
      </c>
      <c r="F251" s="16" t="str">
        <f>IFERROR(__xludf.DUMMYFUNCTION("""COMPUTED_VALUE"""),"Globalis Sertifikasyon Hizmetleri ve Yatırım Sanayi Ticaret AŞ.")</f>
        <v>Globalis Sertifikasyon Hizmetleri ve Yatırım Sanayi Ticaret AŞ.</v>
      </c>
    </row>
    <row r="252">
      <c r="A252" s="14" t="str">
        <f>IFERROR(__xludf.DUMMYFUNCTION("""COMPUTED_VALUE"""),"Gürsel Özdemir")</f>
        <v>Gürsel Özdemir</v>
      </c>
      <c r="B252" s="14" t="str">
        <f>IFERROR(__xludf.DUMMYFUNCTION("""COMPUTED_VALUE"""),"2024-AT-C224")</f>
        <v>2024-AT-C224</v>
      </c>
      <c r="C252" s="17">
        <f>IFERROR(__xludf.DUMMYFUNCTION("""COMPUTED_VALUE"""),45426.0)</f>
        <v>45426</v>
      </c>
      <c r="D252" s="14" t="str">
        <f>IFERROR(__xludf.DUMMYFUNCTION("""COMPUTED_VALUE"""),"H")</f>
        <v>H</v>
      </c>
      <c r="E252" s="14" t="str">
        <f>IFERROR(__xludf.DUMMYFUNCTION("""COMPUTED_VALUE"""),"Turkiye")</f>
        <v>Turkiye</v>
      </c>
      <c r="F252" s="16" t="str">
        <f>IFERROR(__xludf.DUMMYFUNCTION("""COMPUTED_VALUE"""),"ISIS (International Safety Inspection Service)")</f>
        <v>ISIS (International Safety Inspection Service)</v>
      </c>
    </row>
    <row r="253">
      <c r="A253" s="14" t="str">
        <f>IFERROR(__xludf.DUMMYFUNCTION("""COMPUTED_VALUE"""),"MAYRA DE LOS ANGELES LLAMAS LEON")</f>
        <v>MAYRA DE LOS ANGELES LLAMAS LEON</v>
      </c>
      <c r="B253" s="14" t="str">
        <f>IFERROR(__xludf.DUMMYFUNCTION("""COMPUTED_VALUE"""),"2024-AT-C225")</f>
        <v>2024-AT-C225</v>
      </c>
      <c r="C253" s="17">
        <f>IFERROR(__xludf.DUMMYFUNCTION("""COMPUTED_VALUE"""),45426.0)</f>
        <v>45426</v>
      </c>
      <c r="D253" s="14" t="str">
        <f>IFERROR(__xludf.DUMMYFUNCTION("""COMPUTED_VALUE"""),"TO")</f>
        <v>TO</v>
      </c>
      <c r="E253" s="14" t="str">
        <f>IFERROR(__xludf.DUMMYFUNCTION("""COMPUTED_VALUE"""),"Mexico")</f>
        <v>Mexico</v>
      </c>
      <c r="F253" s="16" t="str">
        <f>IFERROR(__xludf.DUMMYFUNCTION("""COMPUTED_VALUE"""),"Control Union")</f>
        <v>Control Union</v>
      </c>
    </row>
    <row r="254">
      <c r="A254" s="14" t="str">
        <f>IFERROR(__xludf.DUMMYFUNCTION("""COMPUTED_VALUE"""),"Meryem Melisa Uyankaya Kırbaççıoğlu")</f>
        <v>Meryem Melisa Uyankaya Kırbaççıoğlu</v>
      </c>
      <c r="B254" s="14" t="str">
        <f>IFERROR(__xludf.DUMMYFUNCTION("""COMPUTED_VALUE"""),"2024-AT-C226")</f>
        <v>2024-AT-C226</v>
      </c>
      <c r="C254" s="17">
        <f>IFERROR(__xludf.DUMMYFUNCTION("""COMPUTED_VALUE"""),45426.0)</f>
        <v>45426</v>
      </c>
      <c r="D254" s="14" t="str">
        <f>IFERROR(__xludf.DUMMYFUNCTION("""COMPUTED_VALUE"""),"H")</f>
        <v>H</v>
      </c>
      <c r="E254" s="14" t="str">
        <f>IFERROR(__xludf.DUMMYFUNCTION("""COMPUTED_VALUE"""),"Turkiye")</f>
        <v>Turkiye</v>
      </c>
      <c r="F254" s="16" t="str">
        <f>IFERROR(__xludf.DUMMYFUNCTION("""COMPUTED_VALUE"""),"Proked Akademi LTD")</f>
        <v>Proked Akademi LTD</v>
      </c>
    </row>
    <row r="255">
      <c r="A255" s="14" t="str">
        <f>IFERROR(__xludf.DUMMYFUNCTION("""COMPUTED_VALUE"""),"Tuba Kaya")</f>
        <v>Tuba Kaya</v>
      </c>
      <c r="B255" s="14" t="str">
        <f>IFERROR(__xludf.DUMMYFUNCTION("""COMPUTED_VALUE"""),"2024-AT-C227")</f>
        <v>2024-AT-C227</v>
      </c>
      <c r="C255" s="17">
        <f>IFERROR(__xludf.DUMMYFUNCTION("""COMPUTED_VALUE"""),45426.0)</f>
        <v>45426</v>
      </c>
      <c r="D255" s="14" t="str">
        <f>IFERROR(__xludf.DUMMYFUNCTION("""COMPUTED_VALUE"""),"TO")</f>
        <v>TO</v>
      </c>
      <c r="E255" s="14" t="str">
        <f>IFERROR(__xludf.DUMMYFUNCTION("""COMPUTED_VALUE"""),"Turkiye")</f>
        <v>Turkiye</v>
      </c>
      <c r="F255" s="16" t="str">
        <f>IFERROR(__xludf.DUMMYFUNCTION("""COMPUTED_VALUE"""),"Self Employed")</f>
        <v>Self Employed</v>
      </c>
    </row>
    <row r="256">
      <c r="A256" s="14" t="str">
        <f>IFERROR(__xludf.DUMMYFUNCTION("""COMPUTED_VALUE"""),"Davide Caisutti")</f>
        <v>Davide Caisutti</v>
      </c>
      <c r="B256" s="14" t="str">
        <f>IFERROR(__xludf.DUMMYFUNCTION("""COMPUTED_VALUE"""),"2024-AT-C228")</f>
        <v>2024-AT-C228</v>
      </c>
      <c r="C256" s="17">
        <f>IFERROR(__xludf.DUMMYFUNCTION("""COMPUTED_VALUE"""),45426.0)</f>
        <v>45426</v>
      </c>
      <c r="D256" s="14" t="str">
        <f>IFERROR(__xludf.DUMMYFUNCTION("""COMPUTED_VALUE"""),"H")</f>
        <v>H</v>
      </c>
      <c r="E256" s="14" t="str">
        <f>IFERROR(__xludf.DUMMYFUNCTION("""COMPUTED_VALUE"""),"Italy")</f>
        <v>Italy</v>
      </c>
      <c r="F256" s="16" t="str">
        <f>IFERROR(__xludf.DUMMYFUNCTION("""COMPUTED_VALUE"""),"Dream&amp;Charme srl")</f>
        <v>Dream&amp;Charme srl</v>
      </c>
    </row>
    <row r="257">
      <c r="A257" s="14" t="str">
        <f>IFERROR(__xludf.DUMMYFUNCTION("""COMPUTED_VALUE"""),"Daisuke OKUMURA")</f>
        <v>Daisuke OKUMURA</v>
      </c>
      <c r="B257" s="14" t="str">
        <f>IFERROR(__xludf.DUMMYFUNCTION("""COMPUTED_VALUE"""),"2024-AT-C229")</f>
        <v>2024-AT-C229</v>
      </c>
      <c r="C257" s="17">
        <f>IFERROR(__xludf.DUMMYFUNCTION("""COMPUTED_VALUE"""),45436.0)</f>
        <v>45436</v>
      </c>
      <c r="D257" s="14" t="str">
        <f>IFERROR(__xludf.DUMMYFUNCTION("""COMPUTED_VALUE"""),"H")</f>
        <v>H</v>
      </c>
      <c r="E257" s="14" t="str">
        <f>IFERROR(__xludf.DUMMYFUNCTION("""COMPUTED_VALUE"""),"Japan")</f>
        <v>Japan</v>
      </c>
      <c r="F257" s="16" t="str">
        <f>IFERROR(__xludf.DUMMYFUNCTION("""COMPUTED_VALUE"""),"Japan Airlines Co.,Ltd.")</f>
        <v>Japan Airlines Co.,Ltd.</v>
      </c>
    </row>
    <row r="258">
      <c r="A258" s="14" t="str">
        <f>IFERROR(__xludf.DUMMYFUNCTION("""COMPUTED_VALUE"""),"Daisuke OKUMURA")</f>
        <v>Daisuke OKUMURA</v>
      </c>
      <c r="B258" s="14" t="str">
        <f>IFERROR(__xludf.DUMMYFUNCTION("""COMPUTED_VALUE"""),"2024-AT-C230")</f>
        <v>2024-AT-C230</v>
      </c>
      <c r="C258" s="17">
        <f>IFERROR(__xludf.DUMMYFUNCTION("""COMPUTED_VALUE"""),45436.0)</f>
        <v>45436</v>
      </c>
      <c r="D258" s="14" t="str">
        <f>IFERROR(__xludf.DUMMYFUNCTION("""COMPUTED_VALUE"""),"TO")</f>
        <v>TO</v>
      </c>
      <c r="E258" s="14" t="str">
        <f>IFERROR(__xludf.DUMMYFUNCTION("""COMPUTED_VALUE"""),"Japan")</f>
        <v>Japan</v>
      </c>
      <c r="F258" s="16" t="str">
        <f>IFERROR(__xludf.DUMMYFUNCTION("""COMPUTED_VALUE"""),"Japan Airlines Co.,Ltd.")</f>
        <v>Japan Airlines Co.,Ltd.</v>
      </c>
    </row>
    <row r="259">
      <c r="A259" s="14" t="str">
        <f>IFERROR(__xludf.DUMMYFUNCTION("""COMPUTED_VALUE"""),"Yuki KOSAKA")</f>
        <v>Yuki KOSAKA</v>
      </c>
      <c r="B259" s="14" t="str">
        <f>IFERROR(__xludf.DUMMYFUNCTION("""COMPUTED_VALUE"""),"2024-AT-C231")</f>
        <v>2024-AT-C231</v>
      </c>
      <c r="C259" s="17">
        <f>IFERROR(__xludf.DUMMYFUNCTION("""COMPUTED_VALUE"""),45436.0)</f>
        <v>45436</v>
      </c>
      <c r="D259" s="14" t="str">
        <f>IFERROR(__xludf.DUMMYFUNCTION("""COMPUTED_VALUE"""),"H")</f>
        <v>H</v>
      </c>
      <c r="E259" s="14" t="str">
        <f>IFERROR(__xludf.DUMMYFUNCTION("""COMPUTED_VALUE"""),"Japan")</f>
        <v>Japan</v>
      </c>
      <c r="F259" s="16" t="str">
        <f>IFERROR(__xludf.DUMMYFUNCTION("""COMPUTED_VALUE"""),"Japan Airlines Co.,Ltd.")</f>
        <v>Japan Airlines Co.,Ltd.</v>
      </c>
    </row>
    <row r="260">
      <c r="A260" s="14" t="str">
        <f>IFERROR(__xludf.DUMMYFUNCTION("""COMPUTED_VALUE"""),"Yuki KOSAKA")</f>
        <v>Yuki KOSAKA</v>
      </c>
      <c r="B260" s="14" t="str">
        <f>IFERROR(__xludf.DUMMYFUNCTION("""COMPUTED_VALUE"""),"2024-AT-C232")</f>
        <v>2024-AT-C232</v>
      </c>
      <c r="C260" s="17">
        <f>IFERROR(__xludf.DUMMYFUNCTION("""COMPUTED_VALUE"""),45436.0)</f>
        <v>45436</v>
      </c>
      <c r="D260" s="14" t="str">
        <f>IFERROR(__xludf.DUMMYFUNCTION("""COMPUTED_VALUE"""),"TO")</f>
        <v>TO</v>
      </c>
      <c r="E260" s="14" t="str">
        <f>IFERROR(__xludf.DUMMYFUNCTION("""COMPUTED_VALUE"""),"Japan")</f>
        <v>Japan</v>
      </c>
      <c r="F260" s="16" t="str">
        <f>IFERROR(__xludf.DUMMYFUNCTION("""COMPUTED_VALUE"""),"Japan Airlines Co.,Ltd.")</f>
        <v>Japan Airlines Co.,Ltd.</v>
      </c>
    </row>
    <row r="261">
      <c r="A261" s="14" t="str">
        <f>IFERROR(__xludf.DUMMYFUNCTION("""COMPUTED_VALUE"""),"Giorgio Caire di Lauzet")</f>
        <v>Giorgio Caire di Lauzet</v>
      </c>
      <c r="B261" s="14" t="str">
        <f>IFERROR(__xludf.DUMMYFUNCTION("""COMPUTED_VALUE"""),"2024-AT-C233")</f>
        <v>2024-AT-C233</v>
      </c>
      <c r="C261" s="17">
        <f>IFERROR(__xludf.DUMMYFUNCTION("""COMPUTED_VALUE"""),45436.0)</f>
        <v>45436</v>
      </c>
      <c r="D261" s="14" t="str">
        <f>IFERROR(__xludf.DUMMYFUNCTION("""COMPUTED_VALUE"""),"H")</f>
        <v>H</v>
      </c>
      <c r="E261" s="14" t="str">
        <f>IFERROR(__xludf.DUMMYFUNCTION("""COMPUTED_VALUE"""),"Italy")</f>
        <v>Italy</v>
      </c>
      <c r="F261" s="16" t="str">
        <f>IFERROR(__xludf.DUMMYFUNCTION("""COMPUTED_VALUE"""),"Dream&amp;Charme (DCA)")</f>
        <v>Dream&amp;Charme (DCA)</v>
      </c>
    </row>
    <row r="262">
      <c r="A262" s="14" t="str">
        <f>IFERROR(__xludf.DUMMYFUNCTION("""COMPUTED_VALUE"""),"Ulfa Khairunnisa Hakim")</f>
        <v>Ulfa Khairunnisa Hakim</v>
      </c>
      <c r="B262" s="14" t="str">
        <f>IFERROR(__xludf.DUMMYFUNCTION("""COMPUTED_VALUE"""),"2024-AT-C234")</f>
        <v>2024-AT-C234</v>
      </c>
      <c r="C262" s="17">
        <f>IFERROR(__xludf.DUMMYFUNCTION("""COMPUTED_VALUE"""),45436.0)</f>
        <v>45436</v>
      </c>
      <c r="D262" s="14" t="str">
        <f>IFERROR(__xludf.DUMMYFUNCTION("""COMPUTED_VALUE"""),"H")</f>
        <v>H</v>
      </c>
      <c r="E262" s="14" t="str">
        <f>IFERROR(__xludf.DUMMYFUNCTION("""COMPUTED_VALUE"""),"Indonesia")</f>
        <v>Indonesia</v>
      </c>
      <c r="F262" s="16" t="str">
        <f>IFERROR(__xludf.DUMMYFUNCTION("""COMPUTED_VALUE"""),"PT PCU Indonesia")</f>
        <v>PT PCU Indonesia</v>
      </c>
    </row>
    <row r="263">
      <c r="A263" s="14" t="str">
        <f>IFERROR(__xludf.DUMMYFUNCTION("""COMPUTED_VALUE"""),"Zed Bates")</f>
        <v>Zed Bates</v>
      </c>
      <c r="B263" s="14" t="str">
        <f>IFERROR(__xludf.DUMMYFUNCTION("""COMPUTED_VALUE"""),"2024-AT-C235")</f>
        <v>2024-AT-C235</v>
      </c>
      <c r="C263" s="17">
        <f>IFERROR(__xludf.DUMMYFUNCTION("""COMPUTED_VALUE"""),45436.0)</f>
        <v>45436</v>
      </c>
      <c r="D263" s="14" t="str">
        <f>IFERROR(__xludf.DUMMYFUNCTION("""COMPUTED_VALUE"""),"H")</f>
        <v>H</v>
      </c>
      <c r="E263" s="14" t="str">
        <f>IFERROR(__xludf.DUMMYFUNCTION("""COMPUTED_VALUE"""),"United States")</f>
        <v>United States</v>
      </c>
      <c r="F263" s="16" t="str">
        <f>IFERROR(__xludf.DUMMYFUNCTION("""COMPUTED_VALUE"""),"DEKRA Certification, Inc.")</f>
        <v>DEKRA Certification, Inc.</v>
      </c>
    </row>
    <row r="264">
      <c r="A264" s="14" t="str">
        <f>IFERROR(__xludf.DUMMYFUNCTION("""COMPUTED_VALUE"""),"Gökhan Tuğrul")</f>
        <v>Gökhan Tuğrul</v>
      </c>
      <c r="B264" s="14" t="str">
        <f>IFERROR(__xludf.DUMMYFUNCTION("""COMPUTED_VALUE"""),"2024-AT-C236")</f>
        <v>2024-AT-C236</v>
      </c>
      <c r="C264" s="17">
        <f>IFERROR(__xludf.DUMMYFUNCTION("""COMPUTED_VALUE"""),45436.0)</f>
        <v>45436</v>
      </c>
      <c r="D264" s="14" t="str">
        <f>IFERROR(__xludf.DUMMYFUNCTION("""COMPUTED_VALUE"""),"H")</f>
        <v>H</v>
      </c>
      <c r="E264" s="14" t="str">
        <f>IFERROR(__xludf.DUMMYFUNCTION("""COMPUTED_VALUE"""),"Turkiye")</f>
        <v>Turkiye</v>
      </c>
      <c r="F264" s="16"/>
    </row>
    <row r="265">
      <c r="A265" s="14" t="str">
        <f>IFERROR(__xludf.DUMMYFUNCTION("""COMPUTED_VALUE"""),"Michelle Groothedde")</f>
        <v>Michelle Groothedde</v>
      </c>
      <c r="B265" s="14" t="str">
        <f>IFERROR(__xludf.DUMMYFUNCTION("""COMPUTED_VALUE"""),"2024-AT-C237")</f>
        <v>2024-AT-C237</v>
      </c>
      <c r="C265" s="17">
        <f>IFERROR(__xludf.DUMMYFUNCTION("""COMPUTED_VALUE"""),45436.0)</f>
        <v>45436</v>
      </c>
      <c r="D265" s="14" t="str">
        <f>IFERROR(__xludf.DUMMYFUNCTION("""COMPUTED_VALUE"""),"H")</f>
        <v>H</v>
      </c>
      <c r="E265" s="14" t="str">
        <f>IFERROR(__xludf.DUMMYFUNCTION("""COMPUTED_VALUE"""),"United Kingdom")</f>
        <v>United Kingdom</v>
      </c>
      <c r="F265" s="16" t="str">
        <f>IFERROR(__xludf.DUMMYFUNCTION("""COMPUTED_VALUE"""),"Travelife for Accommodations")</f>
        <v>Travelife for Accommodations</v>
      </c>
    </row>
    <row r="266">
      <c r="A266" s="14" t="str">
        <f>IFERROR(__xludf.DUMMYFUNCTION("""COMPUTED_VALUE"""),"Takehisa SEKIYA")</f>
        <v>Takehisa SEKIYA</v>
      </c>
      <c r="B266" s="14" t="str">
        <f>IFERROR(__xludf.DUMMYFUNCTION("""COMPUTED_VALUE"""),"2024-AT-C238")</f>
        <v>2024-AT-C238</v>
      </c>
      <c r="C266" s="17">
        <f>IFERROR(__xludf.DUMMYFUNCTION("""COMPUTED_VALUE"""),45436.0)</f>
        <v>45436</v>
      </c>
      <c r="D266" s="14" t="str">
        <f>IFERROR(__xludf.DUMMYFUNCTION("""COMPUTED_VALUE"""),"H")</f>
        <v>H</v>
      </c>
      <c r="E266" s="14" t="str">
        <f>IFERROR(__xludf.DUMMYFUNCTION("""COMPUTED_VALUE"""),"Japan")</f>
        <v>Japan</v>
      </c>
      <c r="F266" s="16" t="str">
        <f>IFERROR(__xludf.DUMMYFUNCTION("""COMPUTED_VALUE"""),"Japan Airlines Co.,Ltd.")</f>
        <v>Japan Airlines Co.,Ltd.</v>
      </c>
    </row>
    <row r="267">
      <c r="A267" s="14" t="str">
        <f>IFERROR(__xludf.DUMMYFUNCTION("""COMPUTED_VALUE"""),"Takehisa SEKIYA")</f>
        <v>Takehisa SEKIYA</v>
      </c>
      <c r="B267" s="14" t="str">
        <f>IFERROR(__xludf.DUMMYFUNCTION("""COMPUTED_VALUE"""),"2024-AT-C239")</f>
        <v>2024-AT-C239</v>
      </c>
      <c r="C267" s="17">
        <f>IFERROR(__xludf.DUMMYFUNCTION("""COMPUTED_VALUE"""),45436.0)</f>
        <v>45436</v>
      </c>
      <c r="D267" s="14" t="str">
        <f>IFERROR(__xludf.DUMMYFUNCTION("""COMPUTED_VALUE"""),"TO")</f>
        <v>TO</v>
      </c>
      <c r="E267" s="14" t="str">
        <f>IFERROR(__xludf.DUMMYFUNCTION("""COMPUTED_VALUE"""),"Japan")</f>
        <v>Japan</v>
      </c>
      <c r="F267" s="16" t="str">
        <f>IFERROR(__xludf.DUMMYFUNCTION("""COMPUTED_VALUE"""),"Japan Airlines Co.,Ltd.")</f>
        <v>Japan Airlines Co.,Ltd.</v>
      </c>
    </row>
    <row r="268">
      <c r="A268" s="14" t="str">
        <f>IFERROR(__xludf.DUMMYFUNCTION("""COMPUTED_VALUE"""),"Elaine Patnode")</f>
        <v>Elaine Patnode</v>
      </c>
      <c r="B268" s="14" t="str">
        <f>IFERROR(__xludf.DUMMYFUNCTION("""COMPUTED_VALUE"""),"2024-AT-C240")</f>
        <v>2024-AT-C240</v>
      </c>
      <c r="C268" s="17">
        <f>IFERROR(__xludf.DUMMYFUNCTION("""COMPUTED_VALUE"""),45450.0)</f>
        <v>45450</v>
      </c>
      <c r="D268" s="14" t="str">
        <f>IFERROR(__xludf.DUMMYFUNCTION("""COMPUTED_VALUE"""),"H")</f>
        <v>H</v>
      </c>
      <c r="E268" s="14" t="str">
        <f>IFERROR(__xludf.DUMMYFUNCTION("""COMPUTED_VALUE"""),"United States")</f>
        <v>United States</v>
      </c>
      <c r="F268" s="16" t="str">
        <f>IFERROR(__xludf.DUMMYFUNCTION("""COMPUTED_VALUE"""),"DEKRA Certification, Inc.")</f>
        <v>DEKRA Certification, Inc.</v>
      </c>
    </row>
    <row r="269">
      <c r="A269" s="14" t="str">
        <f>IFERROR(__xludf.DUMMYFUNCTION("""COMPUTED_VALUE"""),"Saul Antonio Blanco Sosa")</f>
        <v>Saul Antonio Blanco Sosa</v>
      </c>
      <c r="B269" s="14" t="str">
        <f>IFERROR(__xludf.DUMMYFUNCTION("""COMPUTED_VALUE"""),"2024-AT-C241")</f>
        <v>2024-AT-C241</v>
      </c>
      <c r="C269" s="17">
        <f>IFERROR(__xludf.DUMMYFUNCTION("""COMPUTED_VALUE"""),45450.0)</f>
        <v>45450</v>
      </c>
      <c r="D269" s="14" t="str">
        <f>IFERROR(__xludf.DUMMYFUNCTION("""COMPUTED_VALUE"""),"H")</f>
        <v>H</v>
      </c>
      <c r="E269" s="14" t="str">
        <f>IFERROR(__xludf.DUMMYFUNCTION("""COMPUTED_VALUE"""),"Guatemala")</f>
        <v>Guatemala</v>
      </c>
      <c r="F269" s="16" t="str">
        <f>IFERROR(__xludf.DUMMYFUNCTION("""COMPUTED_VALUE"""),"Preferred by Nature")</f>
        <v>Preferred by Nature</v>
      </c>
    </row>
    <row r="270">
      <c r="A270" s="14" t="str">
        <f>IFERROR(__xludf.DUMMYFUNCTION("""COMPUTED_VALUE"""),"Saul Antonio Blanco Sosa")</f>
        <v>Saul Antonio Blanco Sosa</v>
      </c>
      <c r="B270" s="14" t="str">
        <f>IFERROR(__xludf.DUMMYFUNCTION("""COMPUTED_VALUE"""),"2024-AT-C242")</f>
        <v>2024-AT-C242</v>
      </c>
      <c r="C270" s="17">
        <f>IFERROR(__xludf.DUMMYFUNCTION("""COMPUTED_VALUE"""),45450.0)</f>
        <v>45450</v>
      </c>
      <c r="D270" s="14" t="str">
        <f>IFERROR(__xludf.DUMMYFUNCTION("""COMPUTED_VALUE"""),"TO")</f>
        <v>TO</v>
      </c>
      <c r="E270" s="14" t="str">
        <f>IFERROR(__xludf.DUMMYFUNCTION("""COMPUTED_VALUE"""),"Guatemala")</f>
        <v>Guatemala</v>
      </c>
      <c r="F270" s="16" t="str">
        <f>IFERROR(__xludf.DUMMYFUNCTION("""COMPUTED_VALUE"""),"Preferred by Nature")</f>
        <v>Preferred by Nature</v>
      </c>
    </row>
    <row r="271">
      <c r="A271" s="14" t="str">
        <f>IFERROR(__xludf.DUMMYFUNCTION("""COMPUTED_VALUE"""),"Mustafa Fehmi Üstünsöz")</f>
        <v>Mustafa Fehmi Üstünsöz</v>
      </c>
      <c r="B271" s="14" t="str">
        <f>IFERROR(__xludf.DUMMYFUNCTION("""COMPUTED_VALUE"""),"2024-AT-C243")</f>
        <v>2024-AT-C243</v>
      </c>
      <c r="C271" s="17">
        <f>IFERROR(__xludf.DUMMYFUNCTION("""COMPUTED_VALUE"""),45450.0)</f>
        <v>45450</v>
      </c>
      <c r="D271" s="14" t="str">
        <f>IFERROR(__xludf.DUMMYFUNCTION("""COMPUTED_VALUE"""),"H")</f>
        <v>H</v>
      </c>
      <c r="E271" s="14" t="str">
        <f>IFERROR(__xludf.DUMMYFUNCTION("""COMPUTED_VALUE"""),"Turkiye")</f>
        <v>Turkiye</v>
      </c>
      <c r="F271" s="16" t="str">
        <f>IFERROR(__xludf.DUMMYFUNCTION("""COMPUTED_VALUE"""),"ISOQAR Turkey")</f>
        <v>ISOQAR Turkey</v>
      </c>
    </row>
    <row r="272">
      <c r="A272" s="14" t="str">
        <f>IFERROR(__xludf.DUMMYFUNCTION("""COMPUTED_VALUE"""),"Dağhan İstaşoğlu")</f>
        <v>Dağhan İstaşoğlu</v>
      </c>
      <c r="B272" s="14" t="str">
        <f>IFERROR(__xludf.DUMMYFUNCTION("""COMPUTED_VALUE"""),"2024-AT-C244")</f>
        <v>2024-AT-C244</v>
      </c>
      <c r="C272" s="17">
        <f>IFERROR(__xludf.DUMMYFUNCTION("""COMPUTED_VALUE"""),45464.0)</f>
        <v>45464</v>
      </c>
      <c r="D272" s="14" t="str">
        <f>IFERROR(__xludf.DUMMYFUNCTION("""COMPUTED_VALUE"""),"H")</f>
        <v>H</v>
      </c>
      <c r="E272" s="14" t="str">
        <f>IFERROR(__xludf.DUMMYFUNCTION("""COMPUTED_VALUE"""),"Turkiye")</f>
        <v>Turkiye</v>
      </c>
      <c r="F272" s="16" t="str">
        <f>IFERROR(__xludf.DUMMYFUNCTION("""COMPUTED_VALUE"""),"IQD Cert Uluslararası Belgelendirme Denetim ve Eğitim Hizmetleri Ltd. Şti.")</f>
        <v>IQD Cert Uluslararası Belgelendirme Denetim ve Eğitim Hizmetleri Ltd. Şti.</v>
      </c>
    </row>
    <row r="273">
      <c r="A273" s="14" t="str">
        <f>IFERROR(__xludf.DUMMYFUNCTION("""COMPUTED_VALUE"""),"Laila Biondani")</f>
        <v>Laila Biondani</v>
      </c>
      <c r="B273" s="14" t="str">
        <f>IFERROR(__xludf.DUMMYFUNCTION("""COMPUTED_VALUE"""),"2024-AT-C245")</f>
        <v>2024-AT-C245</v>
      </c>
      <c r="C273" s="17">
        <f>IFERROR(__xludf.DUMMYFUNCTION("""COMPUTED_VALUE"""),45485.0)</f>
        <v>45485</v>
      </c>
      <c r="D273" s="14" t="str">
        <f>IFERROR(__xludf.DUMMYFUNCTION("""COMPUTED_VALUE"""),"H")</f>
        <v>H</v>
      </c>
      <c r="E273" s="14" t="str">
        <f>IFERROR(__xludf.DUMMYFUNCTION("""COMPUTED_VALUE"""),"United Kingdom")</f>
        <v>United Kingdom</v>
      </c>
      <c r="F273" s="16" t="str">
        <f>IFERROR(__xludf.DUMMYFUNCTION("""COMPUTED_VALUE"""),"Vireo Srl")</f>
        <v>Vireo Srl</v>
      </c>
    </row>
    <row r="274">
      <c r="A274" s="14" t="str">
        <f>IFERROR(__xludf.DUMMYFUNCTION("""COMPUTED_VALUE"""),"HAKAN AKIN")</f>
        <v>HAKAN AKIN</v>
      </c>
      <c r="B274" s="14" t="str">
        <f>IFERROR(__xludf.DUMMYFUNCTION("""COMPUTED_VALUE"""),"2024-AT-C246")</f>
        <v>2024-AT-C246</v>
      </c>
      <c r="C274" s="17">
        <f>IFERROR(__xludf.DUMMYFUNCTION("""COMPUTED_VALUE"""),45485.0)</f>
        <v>45485</v>
      </c>
      <c r="D274" s="14" t="str">
        <f>IFERROR(__xludf.DUMMYFUNCTION("""COMPUTED_VALUE"""),"H")</f>
        <v>H</v>
      </c>
      <c r="E274" s="14" t="str">
        <f>IFERROR(__xludf.DUMMYFUNCTION("""COMPUTED_VALUE"""),"Turkiye")</f>
        <v>Turkiye</v>
      </c>
      <c r="F274" s="16" t="str">
        <f>IFERROR(__xludf.DUMMYFUNCTION("""COMPUTED_VALUE"""),"HAKAN AKIN")</f>
        <v>HAKAN AKIN</v>
      </c>
    </row>
    <row r="275">
      <c r="A275" s="14" t="str">
        <f>IFERROR(__xludf.DUMMYFUNCTION("""COMPUTED_VALUE"""),"Serena Quadri")</f>
        <v>Serena Quadri</v>
      </c>
      <c r="B275" s="14" t="str">
        <f>IFERROR(__xludf.DUMMYFUNCTION("""COMPUTED_VALUE"""),"2024-AT-C247")</f>
        <v>2024-AT-C247</v>
      </c>
      <c r="C275" s="17">
        <f>IFERROR(__xludf.DUMMYFUNCTION("""COMPUTED_VALUE"""),45485.0)</f>
        <v>45485</v>
      </c>
      <c r="D275" s="14" t="str">
        <f>IFERROR(__xludf.DUMMYFUNCTION("""COMPUTED_VALUE"""),"H")</f>
        <v>H</v>
      </c>
      <c r="E275" s="14" t="str">
        <f>IFERROR(__xludf.DUMMYFUNCTION("""COMPUTED_VALUE"""),"Italy")</f>
        <v>Italy</v>
      </c>
      <c r="F275" s="16" t="str">
        <f>IFERROR(__xludf.DUMMYFUNCTION("""COMPUTED_VALUE"""),"Accredia")</f>
        <v>Accredia</v>
      </c>
    </row>
    <row r="276">
      <c r="A276" s="14" t="str">
        <f>IFERROR(__xludf.DUMMYFUNCTION("""COMPUTED_VALUE"""),"Phoebe Wong")</f>
        <v>Phoebe Wong</v>
      </c>
      <c r="B276" s="14" t="str">
        <f>IFERROR(__xludf.DUMMYFUNCTION("""COMPUTED_VALUE"""),"2024-AT-C248")</f>
        <v>2024-AT-C248</v>
      </c>
      <c r="C276" s="17">
        <f>IFERROR(__xludf.DUMMYFUNCTION("""COMPUTED_VALUE"""),45485.0)</f>
        <v>45485</v>
      </c>
      <c r="D276" s="14" t="str">
        <f>IFERROR(__xludf.DUMMYFUNCTION("""COMPUTED_VALUE"""),"H")</f>
        <v>H</v>
      </c>
      <c r="E276" s="14" t="str">
        <f>IFERROR(__xludf.DUMMYFUNCTION("""COMPUTED_VALUE"""),"United Kingdom")</f>
        <v>United Kingdom</v>
      </c>
      <c r="F276" s="16" t="str">
        <f>IFERROR(__xludf.DUMMYFUNCTION("""COMPUTED_VALUE"""),"DEKRA Certification, Inc.")</f>
        <v>DEKRA Certification, Inc.</v>
      </c>
    </row>
    <row r="277">
      <c r="A277" s="14" t="str">
        <f>IFERROR(__xludf.DUMMYFUNCTION("""COMPUTED_VALUE"""),"Haoming Xu")</f>
        <v>Haoming Xu</v>
      </c>
      <c r="B277" s="14" t="str">
        <f>IFERROR(__xludf.DUMMYFUNCTION("""COMPUTED_VALUE"""),"2024-AT-C249")</f>
        <v>2024-AT-C249</v>
      </c>
      <c r="C277" s="17">
        <f>IFERROR(__xludf.DUMMYFUNCTION("""COMPUTED_VALUE"""),45485.0)</f>
        <v>45485</v>
      </c>
      <c r="D277" s="14" t="str">
        <f>IFERROR(__xludf.DUMMYFUNCTION("""COMPUTED_VALUE"""),"H")</f>
        <v>H</v>
      </c>
      <c r="E277" s="14" t="str">
        <f>IFERROR(__xludf.DUMMYFUNCTION("""COMPUTED_VALUE"""),"China")</f>
        <v>China</v>
      </c>
      <c r="F277" s="16" t="str">
        <f>IFERROR(__xludf.DUMMYFUNCTION("""COMPUTED_VALUE"""),"TUV Rheinland")</f>
        <v>TUV Rheinland</v>
      </c>
    </row>
    <row r="278">
      <c r="A278" s="14" t="str">
        <f>IFERROR(__xludf.DUMMYFUNCTION("""COMPUTED_VALUE"""),"Ulfa Khairunnisa Hakim")</f>
        <v>Ulfa Khairunnisa Hakim</v>
      </c>
      <c r="B278" s="14" t="str">
        <f>IFERROR(__xludf.DUMMYFUNCTION("""COMPUTED_VALUE"""),"2024-AT-C250")</f>
        <v>2024-AT-C250</v>
      </c>
      <c r="C278" s="17">
        <f>IFERROR(__xludf.DUMMYFUNCTION("""COMPUTED_VALUE"""),45485.0)</f>
        <v>45485</v>
      </c>
      <c r="D278" s="14" t="str">
        <f>IFERROR(__xludf.DUMMYFUNCTION("""COMPUTED_VALUE"""),"TO")</f>
        <v>TO</v>
      </c>
      <c r="E278" s="14" t="str">
        <f>IFERROR(__xludf.DUMMYFUNCTION("""COMPUTED_VALUE"""),"Indonesia")</f>
        <v>Indonesia</v>
      </c>
      <c r="F278" s="16" t="str">
        <f>IFERROR(__xludf.DUMMYFUNCTION("""COMPUTED_VALUE"""),"PT PCU Indonesia")</f>
        <v>PT PCU Indonesia</v>
      </c>
    </row>
    <row r="279">
      <c r="A279" s="14" t="str">
        <f>IFERROR(__xludf.DUMMYFUNCTION("""COMPUTED_VALUE"""),"Mary Jacob")</f>
        <v>Mary Jacob</v>
      </c>
      <c r="B279" s="14" t="str">
        <f>IFERROR(__xludf.DUMMYFUNCTION("""COMPUTED_VALUE"""),"2024-AT-C251")</f>
        <v>2024-AT-C251</v>
      </c>
      <c r="C279" s="17">
        <f>IFERROR(__xludf.DUMMYFUNCTION("""COMPUTED_VALUE"""),45497.0)</f>
        <v>45497</v>
      </c>
      <c r="D279" s="14" t="str">
        <f>IFERROR(__xludf.DUMMYFUNCTION("""COMPUTED_VALUE"""),"H")</f>
        <v>H</v>
      </c>
      <c r="E279" s="14" t="str">
        <f>IFERROR(__xludf.DUMMYFUNCTION("""COMPUTED_VALUE"""),"Singapore")</f>
        <v>Singapore</v>
      </c>
      <c r="F279" s="16" t="str">
        <f>IFERROR(__xludf.DUMMYFUNCTION("""COMPUTED_VALUE"""),"Element Testing Services (S) Pte Ltd")</f>
        <v>Element Testing Services (S) Pte Ltd</v>
      </c>
    </row>
    <row r="280">
      <c r="A280" s="14" t="str">
        <f>IFERROR(__xludf.DUMMYFUNCTION("""COMPUTED_VALUE"""),"Bulent Demiral")</f>
        <v>Bulent Demiral</v>
      </c>
      <c r="B280" s="14" t="str">
        <f>IFERROR(__xludf.DUMMYFUNCTION("""COMPUTED_VALUE"""),"2024-AT-C252")</f>
        <v>2024-AT-C252</v>
      </c>
      <c r="C280" s="17">
        <f>IFERROR(__xludf.DUMMYFUNCTION("""COMPUTED_VALUE"""),45497.0)</f>
        <v>45497</v>
      </c>
      <c r="D280" s="14" t="str">
        <f>IFERROR(__xludf.DUMMYFUNCTION("""COMPUTED_VALUE"""),"H")</f>
        <v>H</v>
      </c>
      <c r="E280" s="14" t="str">
        <f>IFERROR(__xludf.DUMMYFUNCTION("""COMPUTED_VALUE"""),"Turkiye")</f>
        <v>Turkiye</v>
      </c>
      <c r="F280" s="16"/>
    </row>
    <row r="281">
      <c r="A281" s="14" t="str">
        <f>IFERROR(__xludf.DUMMYFUNCTION("""COMPUTED_VALUE"""),"Cüneyt Ünver")</f>
        <v>Cüneyt Ünver</v>
      </c>
      <c r="B281" s="14" t="str">
        <f>IFERROR(__xludf.DUMMYFUNCTION("""COMPUTED_VALUE"""),"2024-AT-C253")</f>
        <v>2024-AT-C253</v>
      </c>
      <c r="C281" s="17">
        <f>IFERROR(__xludf.DUMMYFUNCTION("""COMPUTED_VALUE"""),45497.0)</f>
        <v>45497</v>
      </c>
      <c r="D281" s="14" t="str">
        <f>IFERROR(__xludf.DUMMYFUNCTION("""COMPUTED_VALUE"""),"H")</f>
        <v>H</v>
      </c>
      <c r="E281" s="14" t="str">
        <f>IFERROR(__xludf.DUMMYFUNCTION("""COMPUTED_VALUE"""),"Turkiye")</f>
        <v>Turkiye</v>
      </c>
      <c r="F281" s="16" t="str">
        <f>IFERROR(__xludf.DUMMYFUNCTION("""COMPUTED_VALUE"""),"Self Employed")</f>
        <v>Self Employed</v>
      </c>
    </row>
    <row r="282">
      <c r="A282" s="14" t="str">
        <f>IFERROR(__xludf.DUMMYFUNCTION("""COMPUTED_VALUE"""),"Pongsathorn Kamonpet")</f>
        <v>Pongsathorn Kamonpet</v>
      </c>
      <c r="B282" s="14" t="str">
        <f>IFERROR(__xludf.DUMMYFUNCTION("""COMPUTED_VALUE"""),"2024-AT-C254")</f>
        <v>2024-AT-C254</v>
      </c>
      <c r="C282" s="17">
        <f>IFERROR(__xludf.DUMMYFUNCTION("""COMPUTED_VALUE"""),45497.0)</f>
        <v>45497</v>
      </c>
      <c r="D282" s="14" t="str">
        <f>IFERROR(__xludf.DUMMYFUNCTION("""COMPUTED_VALUE"""),"H")</f>
        <v>H</v>
      </c>
      <c r="E282" s="14" t="str">
        <f>IFERROR(__xludf.DUMMYFUNCTION("""COMPUTED_VALUE"""),"Thailand")</f>
        <v>Thailand</v>
      </c>
      <c r="F282" s="16" t="str">
        <f>IFERROR(__xludf.DUMMYFUNCTION("""COMPUTED_VALUE"""),"Bureau Veritas (Thailand) Ltd.")</f>
        <v>Bureau Veritas (Thailand) Ltd.</v>
      </c>
    </row>
    <row r="283">
      <c r="A283" s="14" t="str">
        <f>IFERROR(__xludf.DUMMYFUNCTION("""COMPUTED_VALUE"""),"Pongsathorn Kamonpet")</f>
        <v>Pongsathorn Kamonpet</v>
      </c>
      <c r="B283" s="14" t="str">
        <f>IFERROR(__xludf.DUMMYFUNCTION("""COMPUTED_VALUE"""),"2024-AT-C255")</f>
        <v>2024-AT-C255</v>
      </c>
      <c r="C283" s="17">
        <f>IFERROR(__xludf.DUMMYFUNCTION("""COMPUTED_VALUE"""),45497.0)</f>
        <v>45497</v>
      </c>
      <c r="D283" s="14" t="str">
        <f>IFERROR(__xludf.DUMMYFUNCTION("""COMPUTED_VALUE"""),"TO")</f>
        <v>TO</v>
      </c>
      <c r="E283" s="14" t="str">
        <f>IFERROR(__xludf.DUMMYFUNCTION("""COMPUTED_VALUE"""),"Thailand")</f>
        <v>Thailand</v>
      </c>
      <c r="F283" s="16" t="str">
        <f>IFERROR(__xludf.DUMMYFUNCTION("""COMPUTED_VALUE"""),"Bureau Veritas (Thailand) Ltd.")</f>
        <v>Bureau Veritas (Thailand) Ltd.</v>
      </c>
    </row>
    <row r="284">
      <c r="A284" s="14" t="str">
        <f>IFERROR(__xludf.DUMMYFUNCTION("""COMPUTED_VALUE"""),"Gözde Kubat")</f>
        <v>Gözde Kubat</v>
      </c>
      <c r="B284" s="14" t="str">
        <f>IFERROR(__xludf.DUMMYFUNCTION("""COMPUTED_VALUE"""),"2024-AT-C256")</f>
        <v>2024-AT-C256</v>
      </c>
      <c r="C284" s="17">
        <f>IFERROR(__xludf.DUMMYFUNCTION("""COMPUTED_VALUE"""),45497.0)</f>
        <v>45497</v>
      </c>
      <c r="D284" s="14" t="str">
        <f>IFERROR(__xludf.DUMMYFUNCTION("""COMPUTED_VALUE"""),"H")</f>
        <v>H</v>
      </c>
      <c r="E284" s="14" t="str">
        <f>IFERROR(__xludf.DUMMYFUNCTION("""COMPUTED_VALUE"""),"Turkiye")</f>
        <v>Turkiye</v>
      </c>
      <c r="F284" s="16" t="str">
        <f>IFERROR(__xludf.DUMMYFUNCTION("""COMPUTED_VALUE"""),"Şişli Municipality")</f>
        <v>Şişli Municipality</v>
      </c>
    </row>
    <row r="285">
      <c r="A285" s="14" t="str">
        <f>IFERROR(__xludf.DUMMYFUNCTION("""COMPUTED_VALUE"""),"Seçil Tunçsav")</f>
        <v>Seçil Tunçsav</v>
      </c>
      <c r="B285" s="14" t="str">
        <f>IFERROR(__xludf.DUMMYFUNCTION("""COMPUTED_VALUE"""),"2024-AT-C257")</f>
        <v>2024-AT-C257</v>
      </c>
      <c r="C285" s="17">
        <f>IFERROR(__xludf.DUMMYFUNCTION("""COMPUTED_VALUE"""),45497.0)</f>
        <v>45497</v>
      </c>
      <c r="D285" s="14" t="str">
        <f>IFERROR(__xludf.DUMMYFUNCTION("""COMPUTED_VALUE"""),"H")</f>
        <v>H</v>
      </c>
      <c r="E285" s="14" t="str">
        <f>IFERROR(__xludf.DUMMYFUNCTION("""COMPUTED_VALUE"""),"Turkiye")</f>
        <v>Turkiye</v>
      </c>
      <c r="F285" s="16" t="str">
        <f>IFERROR(__xludf.DUMMYFUNCTION("""COMPUTED_VALUE"""),"Şişli Municipality")</f>
        <v>Şişli Municipality</v>
      </c>
    </row>
    <row r="286">
      <c r="A286" s="14" t="str">
        <f>IFERROR(__xludf.DUMMYFUNCTION("""COMPUTED_VALUE"""),"ERSEN DAŞ")</f>
        <v>ERSEN DAŞ</v>
      </c>
      <c r="B286" s="14" t="str">
        <f>IFERROR(__xludf.DUMMYFUNCTION("""COMPUTED_VALUE"""),"2024-AT-C258")</f>
        <v>2024-AT-C258</v>
      </c>
      <c r="C286" s="17">
        <f>IFERROR(__xludf.DUMMYFUNCTION("""COMPUTED_VALUE"""),45497.0)</f>
        <v>45497</v>
      </c>
      <c r="D286" s="14" t="str">
        <f>IFERROR(__xludf.DUMMYFUNCTION("""COMPUTED_VALUE"""),"H")</f>
        <v>H</v>
      </c>
      <c r="E286" s="14" t="str">
        <f>IFERROR(__xludf.DUMMYFUNCTION("""COMPUTED_VALUE"""),"Turkiye")</f>
        <v>Turkiye</v>
      </c>
      <c r="F286" s="16" t="str">
        <f>IFERROR(__xludf.DUMMYFUNCTION("""COMPUTED_VALUE"""),"Control Union")</f>
        <v>Control Union</v>
      </c>
    </row>
    <row r="287">
      <c r="A287" s="14" t="str">
        <f>IFERROR(__xludf.DUMMYFUNCTION("""COMPUTED_VALUE"""),"Salih Çiçek")</f>
        <v>Salih Çiçek</v>
      </c>
      <c r="B287" s="14" t="str">
        <f>IFERROR(__xludf.DUMMYFUNCTION("""COMPUTED_VALUE"""),"2024-AT-C259")</f>
        <v>2024-AT-C259</v>
      </c>
      <c r="C287" s="17">
        <f>IFERROR(__xludf.DUMMYFUNCTION("""COMPUTED_VALUE"""),45497.0)</f>
        <v>45497</v>
      </c>
      <c r="D287" s="14" t="str">
        <f>IFERROR(__xludf.DUMMYFUNCTION("""COMPUTED_VALUE"""),"H")</f>
        <v>H</v>
      </c>
      <c r="E287" s="14" t="str">
        <f>IFERROR(__xludf.DUMMYFUNCTION("""COMPUTED_VALUE"""),"Turkiye")</f>
        <v>Turkiye</v>
      </c>
      <c r="F287" s="16" t="str">
        <f>IFERROR(__xludf.DUMMYFUNCTION("""COMPUTED_VALUE"""),"ISOQAR Turkey")</f>
        <v>ISOQAR Turkey</v>
      </c>
    </row>
    <row r="288">
      <c r="A288" s="14" t="str">
        <f>IFERROR(__xludf.DUMMYFUNCTION("""COMPUTED_VALUE"""),"Yeap Hooi Kim")</f>
        <v>Yeap Hooi Kim</v>
      </c>
      <c r="B288" s="14" t="str">
        <f>IFERROR(__xludf.DUMMYFUNCTION("""COMPUTED_VALUE"""),"2024-AT-C260")</f>
        <v>2024-AT-C260</v>
      </c>
      <c r="C288" s="17">
        <f>IFERROR(__xludf.DUMMYFUNCTION("""COMPUTED_VALUE"""),45497.0)</f>
        <v>45497</v>
      </c>
      <c r="D288" s="14" t="str">
        <f>IFERROR(__xludf.DUMMYFUNCTION("""COMPUTED_VALUE"""),"H")</f>
        <v>H</v>
      </c>
      <c r="E288" s="14" t="str">
        <f>IFERROR(__xludf.DUMMYFUNCTION("""COMPUTED_VALUE"""),"Singapore")</f>
        <v>Singapore</v>
      </c>
      <c r="F288" s="16" t="str">
        <f>IFERROR(__xludf.DUMMYFUNCTION("""COMPUTED_VALUE"""),"Control Union Singapore Pte Ltd")</f>
        <v>Control Union Singapore Pte Ltd</v>
      </c>
    </row>
    <row r="289">
      <c r="A289" s="14" t="str">
        <f>IFERROR(__xludf.DUMMYFUNCTION("""COMPUTED_VALUE"""),"Yeap Hooi Kim")</f>
        <v>Yeap Hooi Kim</v>
      </c>
      <c r="B289" s="14" t="str">
        <f>IFERROR(__xludf.DUMMYFUNCTION("""COMPUTED_VALUE"""),"2024-AT-C261")</f>
        <v>2024-AT-C261</v>
      </c>
      <c r="C289" s="17">
        <f>IFERROR(__xludf.DUMMYFUNCTION("""COMPUTED_VALUE"""),45497.0)</f>
        <v>45497</v>
      </c>
      <c r="D289" s="14" t="str">
        <f>IFERROR(__xludf.DUMMYFUNCTION("""COMPUTED_VALUE"""),"TO")</f>
        <v>TO</v>
      </c>
      <c r="E289" s="14" t="str">
        <f>IFERROR(__xludf.DUMMYFUNCTION("""COMPUTED_VALUE"""),"Singapore")</f>
        <v>Singapore</v>
      </c>
      <c r="F289" s="16" t="str">
        <f>IFERROR(__xludf.DUMMYFUNCTION("""COMPUTED_VALUE"""),"Control Union Singapore Pte Ltd")</f>
        <v>Control Union Singapore Pte Ltd</v>
      </c>
    </row>
    <row r="290">
      <c r="A290" s="14" t="str">
        <f>IFERROR(__xludf.DUMMYFUNCTION("""COMPUTED_VALUE"""),"Ailynn Seah")</f>
        <v>Ailynn Seah</v>
      </c>
      <c r="B290" s="14" t="str">
        <f>IFERROR(__xludf.DUMMYFUNCTION("""COMPUTED_VALUE"""),"2024-AT-C262")</f>
        <v>2024-AT-C262</v>
      </c>
      <c r="C290" s="17">
        <f>IFERROR(__xludf.DUMMYFUNCTION("""COMPUTED_VALUE"""),45497.0)</f>
        <v>45497</v>
      </c>
      <c r="D290" s="14" t="str">
        <f>IFERROR(__xludf.DUMMYFUNCTION("""COMPUTED_VALUE"""),"H")</f>
        <v>H</v>
      </c>
      <c r="E290" s="14" t="str">
        <f>IFERROR(__xludf.DUMMYFUNCTION("""COMPUTED_VALUE"""),"Singapore")</f>
        <v>Singapore</v>
      </c>
      <c r="F290" s="16" t="str">
        <f>IFERROR(__xludf.DUMMYFUNCTION("""COMPUTED_VALUE"""),"The Lumiere Company")</f>
        <v>The Lumiere Company</v>
      </c>
    </row>
    <row r="291">
      <c r="A291" s="14" t="str">
        <f>IFERROR(__xludf.DUMMYFUNCTION("""COMPUTED_VALUE"""),"Jerome Memoracion")</f>
        <v>Jerome Memoracion</v>
      </c>
      <c r="B291" s="14" t="str">
        <f>IFERROR(__xludf.DUMMYFUNCTION("""COMPUTED_VALUE"""),"2024-AT-C263")</f>
        <v>2024-AT-C263</v>
      </c>
      <c r="C291" s="17">
        <f>IFERROR(__xludf.DUMMYFUNCTION("""COMPUTED_VALUE"""),45506.0)</f>
        <v>45506</v>
      </c>
      <c r="D291" s="14" t="str">
        <f>IFERROR(__xludf.DUMMYFUNCTION("""COMPUTED_VALUE"""),"H")</f>
        <v>H</v>
      </c>
      <c r="E291" s="14" t="str">
        <f>IFERROR(__xludf.DUMMYFUNCTION("""COMPUTED_VALUE"""),"Philippines")</f>
        <v>Philippines</v>
      </c>
      <c r="F291" s="16" t="str">
        <f>IFERROR(__xludf.DUMMYFUNCTION("""COMPUTED_VALUE"""),"Control Union Philippines, Inc.")</f>
        <v>Control Union Philippines, Inc.</v>
      </c>
    </row>
    <row r="292">
      <c r="A292" s="14" t="str">
        <f>IFERROR(__xludf.DUMMYFUNCTION("""COMPUTED_VALUE"""),"Cecilia Torlai")</f>
        <v>Cecilia Torlai</v>
      </c>
      <c r="B292" s="14" t="str">
        <f>IFERROR(__xludf.DUMMYFUNCTION("""COMPUTED_VALUE"""),"2024-AT-C264")</f>
        <v>2024-AT-C264</v>
      </c>
      <c r="C292" s="17">
        <f>IFERROR(__xludf.DUMMYFUNCTION("""COMPUTED_VALUE"""),45506.0)</f>
        <v>45506</v>
      </c>
      <c r="D292" s="14" t="str">
        <f>IFERROR(__xludf.DUMMYFUNCTION("""COMPUTED_VALUE"""),"H")</f>
        <v>H</v>
      </c>
      <c r="E292" s="14" t="str">
        <f>IFERROR(__xludf.DUMMYFUNCTION("""COMPUTED_VALUE"""),"Italy")</f>
        <v>Italy</v>
      </c>
      <c r="F292" s="16" t="str">
        <f>IFERROR(__xludf.DUMMYFUNCTION("""COMPUTED_VALUE"""),"Freelancer")</f>
        <v>Freelancer</v>
      </c>
    </row>
    <row r="293">
      <c r="A293" s="14" t="str">
        <f>IFERROR(__xludf.DUMMYFUNCTION("""COMPUTED_VALUE"""),"Halil Akbaş")</f>
        <v>Halil Akbaş</v>
      </c>
      <c r="B293" s="14" t="str">
        <f>IFERROR(__xludf.DUMMYFUNCTION("""COMPUTED_VALUE"""),"2024-AT-C265")</f>
        <v>2024-AT-C265</v>
      </c>
      <c r="C293" s="17">
        <f>IFERROR(__xludf.DUMMYFUNCTION("""COMPUTED_VALUE"""),45506.0)</f>
        <v>45506</v>
      </c>
      <c r="D293" s="14" t="str">
        <f>IFERROR(__xludf.DUMMYFUNCTION("""COMPUTED_VALUE"""),"H")</f>
        <v>H</v>
      </c>
      <c r="E293" s="14" t="str">
        <f>IFERROR(__xludf.DUMMYFUNCTION("""COMPUTED_VALUE"""),"Turkiye")</f>
        <v>Turkiye</v>
      </c>
      <c r="F293" s="16" t="str">
        <f>IFERROR(__xludf.DUMMYFUNCTION("""COMPUTED_VALUE"""),"Çiftay")</f>
        <v>Çiftay</v>
      </c>
    </row>
    <row r="294">
      <c r="A294" s="14" t="str">
        <f>IFERROR(__xludf.DUMMYFUNCTION("""COMPUTED_VALUE"""),"Divinah Maturi")</f>
        <v>Divinah Maturi</v>
      </c>
      <c r="B294" s="14" t="str">
        <f>IFERROR(__xludf.DUMMYFUNCTION("""COMPUTED_VALUE"""),"2024-AT-C266")</f>
        <v>2024-AT-C266</v>
      </c>
      <c r="C294" s="17">
        <f>IFERROR(__xludf.DUMMYFUNCTION("""COMPUTED_VALUE"""),45506.0)</f>
        <v>45506</v>
      </c>
      <c r="D294" s="14" t="str">
        <f>IFERROR(__xludf.DUMMYFUNCTION("""COMPUTED_VALUE"""),"H")</f>
        <v>H</v>
      </c>
      <c r="E294" s="14" t="str">
        <f>IFERROR(__xludf.DUMMYFUNCTION("""COMPUTED_VALUE"""),"Kenya")</f>
        <v>Kenya</v>
      </c>
      <c r="F294" s="16" t="str">
        <f>IFERROR(__xludf.DUMMYFUNCTION("""COMPUTED_VALUE"""),"Control Union")</f>
        <v>Control Union</v>
      </c>
    </row>
    <row r="295">
      <c r="A295" s="14" t="str">
        <f>IFERROR(__xludf.DUMMYFUNCTION("""COMPUTED_VALUE"""),"Ailynn Seah")</f>
        <v>Ailynn Seah</v>
      </c>
      <c r="B295" s="14" t="str">
        <f>IFERROR(__xludf.DUMMYFUNCTION("""COMPUTED_VALUE"""),"2024-AT-C267")</f>
        <v>2024-AT-C267</v>
      </c>
      <c r="C295" s="17">
        <f>IFERROR(__xludf.DUMMYFUNCTION("""COMPUTED_VALUE"""),45506.0)</f>
        <v>45506</v>
      </c>
      <c r="D295" s="14" t="str">
        <f>IFERROR(__xludf.DUMMYFUNCTION("""COMPUTED_VALUE"""),"TO")</f>
        <v>TO</v>
      </c>
      <c r="E295" s="14" t="str">
        <f>IFERROR(__xludf.DUMMYFUNCTION("""COMPUTED_VALUE"""),"Singapore")</f>
        <v>Singapore</v>
      </c>
      <c r="F295" s="16" t="str">
        <f>IFERROR(__xludf.DUMMYFUNCTION("""COMPUTED_VALUE"""),"The Lumiere Company")</f>
        <v>The Lumiere Company</v>
      </c>
    </row>
    <row r="296">
      <c r="A296" s="14" t="str">
        <f>IFERROR(__xludf.DUMMYFUNCTION("""COMPUTED_VALUE"""),"FRANCESCA ROMERO")</f>
        <v>FRANCESCA ROMERO</v>
      </c>
      <c r="B296" s="14" t="str">
        <f>IFERROR(__xludf.DUMMYFUNCTION("""COMPUTED_VALUE"""),"2024-AT-C268")</f>
        <v>2024-AT-C268</v>
      </c>
      <c r="C296" s="17">
        <f>IFERROR(__xludf.DUMMYFUNCTION("""COMPUTED_VALUE"""),45506.0)</f>
        <v>45506</v>
      </c>
      <c r="D296" s="14" t="str">
        <f>IFERROR(__xludf.DUMMYFUNCTION("""COMPUTED_VALUE"""),"H")</f>
        <v>H</v>
      </c>
      <c r="E296" s="14" t="str">
        <f>IFERROR(__xludf.DUMMYFUNCTION("""COMPUTED_VALUE"""),"Italy")</f>
        <v>Italy</v>
      </c>
      <c r="F296" s="16"/>
    </row>
    <row r="297">
      <c r="A297" s="14" t="str">
        <f>IFERROR(__xludf.DUMMYFUNCTION("""COMPUTED_VALUE"""),"vesile cansu üstüntaş")</f>
        <v>vesile cansu üstüntaş</v>
      </c>
      <c r="B297" s="14" t="str">
        <f>IFERROR(__xludf.DUMMYFUNCTION("""COMPUTED_VALUE"""),"2024-AT-C269")</f>
        <v>2024-AT-C269</v>
      </c>
      <c r="C297" s="17">
        <f>IFERROR(__xludf.DUMMYFUNCTION("""COMPUTED_VALUE"""),45520.0)</f>
        <v>45520</v>
      </c>
      <c r="D297" s="14" t="str">
        <f>IFERROR(__xludf.DUMMYFUNCTION("""COMPUTED_VALUE"""),"H")</f>
        <v>H</v>
      </c>
      <c r="E297" s="14" t="str">
        <f>IFERROR(__xludf.DUMMYFUNCTION("""COMPUTED_VALUE"""),"Turkiye")</f>
        <v>Turkiye</v>
      </c>
      <c r="F297" s="16" t="str">
        <f>IFERROR(__xludf.DUMMYFUNCTION("""COMPUTED_VALUE"""),"Globalis Sertifikasyon Hizmetleri ve Yatırım Sanayi Ticaret AŞ.")</f>
        <v>Globalis Sertifikasyon Hizmetleri ve Yatırım Sanayi Ticaret AŞ.</v>
      </c>
    </row>
    <row r="298">
      <c r="A298" s="14" t="str">
        <f>IFERROR(__xludf.DUMMYFUNCTION("""COMPUTED_VALUE"""),"Demet Gençoğlu Akın")</f>
        <v>Demet Gençoğlu Akın</v>
      </c>
      <c r="B298" s="14" t="str">
        <f>IFERROR(__xludf.DUMMYFUNCTION("""COMPUTED_VALUE"""),"2024-AT-C270")</f>
        <v>2024-AT-C270</v>
      </c>
      <c r="C298" s="17">
        <f>IFERROR(__xludf.DUMMYFUNCTION("""COMPUTED_VALUE"""),45520.0)</f>
        <v>45520</v>
      </c>
      <c r="D298" s="14" t="str">
        <f>IFERROR(__xludf.DUMMYFUNCTION("""COMPUTED_VALUE"""),"H")</f>
        <v>H</v>
      </c>
      <c r="E298" s="14" t="str">
        <f>IFERROR(__xludf.DUMMYFUNCTION("""COMPUTED_VALUE"""),"Turkiye")</f>
        <v>Turkiye</v>
      </c>
      <c r="F298" s="16" t="str">
        <f>IFERROR(__xludf.DUMMYFUNCTION("""COMPUTED_VALUE"""),"Royal Cert")</f>
        <v>Royal Cert</v>
      </c>
    </row>
    <row r="299">
      <c r="A299" s="14" t="str">
        <f>IFERROR(__xludf.DUMMYFUNCTION("""COMPUTED_VALUE"""),"Yavuz Kurtulan")</f>
        <v>Yavuz Kurtulan</v>
      </c>
      <c r="B299" s="14" t="str">
        <f>IFERROR(__xludf.DUMMYFUNCTION("""COMPUTED_VALUE"""),"2024-AT-C271")</f>
        <v>2024-AT-C271</v>
      </c>
      <c r="C299" s="17">
        <f>IFERROR(__xludf.DUMMYFUNCTION("""COMPUTED_VALUE"""),45520.0)</f>
        <v>45520</v>
      </c>
      <c r="D299" s="14" t="str">
        <f>IFERROR(__xludf.DUMMYFUNCTION("""COMPUTED_VALUE"""),"H")</f>
        <v>H</v>
      </c>
      <c r="E299" s="14" t="str">
        <f>IFERROR(__xludf.DUMMYFUNCTION("""COMPUTED_VALUE"""),"Turkiye")</f>
        <v>Turkiye</v>
      </c>
      <c r="F299" s="16" t="str">
        <f>IFERROR(__xludf.DUMMYFUNCTION("""COMPUTED_VALUE"""),"İsveren")</f>
        <v>İsveren</v>
      </c>
    </row>
    <row r="300">
      <c r="A300" s="14" t="str">
        <f>IFERROR(__xludf.DUMMYFUNCTION("""COMPUTED_VALUE"""),"AYSEN YILMAZ")</f>
        <v>AYSEN YILMAZ</v>
      </c>
      <c r="B300" s="14" t="str">
        <f>IFERROR(__xludf.DUMMYFUNCTION("""COMPUTED_VALUE"""),"2024-AT-C272")</f>
        <v>2024-AT-C272</v>
      </c>
      <c r="C300" s="17">
        <f>IFERROR(__xludf.DUMMYFUNCTION("""COMPUTED_VALUE"""),45520.0)</f>
        <v>45520</v>
      </c>
      <c r="D300" s="14" t="str">
        <f>IFERROR(__xludf.DUMMYFUNCTION("""COMPUTED_VALUE"""),"TO")</f>
        <v>TO</v>
      </c>
      <c r="E300" s="14" t="str">
        <f>IFERROR(__xludf.DUMMYFUNCTION("""COMPUTED_VALUE"""),"Turkiye")</f>
        <v>Turkiye</v>
      </c>
      <c r="F300" s="16" t="str">
        <f>IFERROR(__xludf.DUMMYFUNCTION("""COMPUTED_VALUE"""),"ALBERK QA ULUSLARARASI TEKNİK KONTROL VE BELGELENDIRME A.S.")</f>
        <v>ALBERK QA ULUSLARARASI TEKNİK KONTROL VE BELGELENDIRME A.S.</v>
      </c>
    </row>
    <row r="301">
      <c r="A301" s="14" t="str">
        <f>IFERROR(__xludf.DUMMYFUNCTION("""COMPUTED_VALUE"""),"Giorgio Caire di Lauzet")</f>
        <v>Giorgio Caire di Lauzet</v>
      </c>
      <c r="B301" s="14" t="str">
        <f>IFERROR(__xludf.DUMMYFUNCTION("""COMPUTED_VALUE"""),"2024-AT-C273")</f>
        <v>2024-AT-C273</v>
      </c>
      <c r="C301" s="17">
        <f>IFERROR(__xludf.DUMMYFUNCTION("""COMPUTED_VALUE"""),45520.0)</f>
        <v>45520</v>
      </c>
      <c r="D301" s="14" t="str">
        <f>IFERROR(__xludf.DUMMYFUNCTION("""COMPUTED_VALUE"""),"TO")</f>
        <v>TO</v>
      </c>
      <c r="E301" s="14" t="str">
        <f>IFERROR(__xludf.DUMMYFUNCTION("""COMPUTED_VALUE"""),"Italy")</f>
        <v>Italy</v>
      </c>
      <c r="F301" s="16" t="str">
        <f>IFERROR(__xludf.DUMMYFUNCTION("""COMPUTED_VALUE"""),"Dream&amp;Charme (DCA)")</f>
        <v>Dream&amp;Charme (DCA)</v>
      </c>
    </row>
    <row r="302">
      <c r="A302" s="14" t="str">
        <f>IFERROR(__xludf.DUMMYFUNCTION("""COMPUTED_VALUE"""),"Salih Çiçek")</f>
        <v>Salih Çiçek</v>
      </c>
      <c r="B302" s="14" t="str">
        <f>IFERROR(__xludf.DUMMYFUNCTION("""COMPUTED_VALUE"""),"2024-AT-C274")</f>
        <v>2024-AT-C274</v>
      </c>
      <c r="C302" s="17">
        <f>IFERROR(__xludf.DUMMYFUNCTION("""COMPUTED_VALUE"""),45520.0)</f>
        <v>45520</v>
      </c>
      <c r="D302" s="14" t="str">
        <f>IFERROR(__xludf.DUMMYFUNCTION("""COMPUTED_VALUE"""),"TO")</f>
        <v>TO</v>
      </c>
      <c r="E302" s="14" t="str">
        <f>IFERROR(__xludf.DUMMYFUNCTION("""COMPUTED_VALUE"""),"Turkiye")</f>
        <v>Turkiye</v>
      </c>
      <c r="F302" s="16" t="str">
        <f>IFERROR(__xludf.DUMMYFUNCTION("""COMPUTED_VALUE"""),"ISOQAR Turkey")</f>
        <v>ISOQAR Turkey</v>
      </c>
    </row>
    <row r="303">
      <c r="A303" s="14" t="str">
        <f>IFERROR(__xludf.DUMMYFUNCTION("""COMPUTED_VALUE"""),"MÜCAHİT GÜRLER")</f>
        <v>MÜCAHİT GÜRLER</v>
      </c>
      <c r="B303" s="14" t="str">
        <f>IFERROR(__xludf.DUMMYFUNCTION("""COMPUTED_VALUE"""),"2024-AT-C275")</f>
        <v>2024-AT-C275</v>
      </c>
      <c r="C303" s="17">
        <f>IFERROR(__xludf.DUMMYFUNCTION("""COMPUTED_VALUE"""),45520.0)</f>
        <v>45520</v>
      </c>
      <c r="D303" s="14" t="str">
        <f>IFERROR(__xludf.DUMMYFUNCTION("""COMPUTED_VALUE"""),"H")</f>
        <v>H</v>
      </c>
      <c r="E303" s="14" t="str">
        <f>IFERROR(__xludf.DUMMYFUNCTION("""COMPUTED_VALUE"""),"Turkiye")</f>
        <v>Turkiye</v>
      </c>
      <c r="F303" s="16" t="str">
        <f>IFERROR(__xludf.DUMMYFUNCTION("""COMPUTED_VALUE"""),"Ezel Kalite Teknik Kontrol Belgelendirme Sanayi ve Ticaret Limited Şirketi")</f>
        <v>Ezel Kalite Teknik Kontrol Belgelendirme Sanayi ve Ticaret Limited Şirketi</v>
      </c>
    </row>
    <row r="304">
      <c r="A304" s="14" t="str">
        <f>IFERROR(__xludf.DUMMYFUNCTION("""COMPUTED_VALUE"""),"EROL KEREM KADIOGLU")</f>
        <v>EROL KEREM KADIOGLU</v>
      </c>
      <c r="B304" s="14" t="str">
        <f>IFERROR(__xludf.DUMMYFUNCTION("""COMPUTED_VALUE"""),"2024-AT-C276")</f>
        <v>2024-AT-C276</v>
      </c>
      <c r="C304" s="17">
        <f>IFERROR(__xludf.DUMMYFUNCTION("""COMPUTED_VALUE"""),45520.0)</f>
        <v>45520</v>
      </c>
      <c r="D304" s="14" t="str">
        <f>IFERROR(__xludf.DUMMYFUNCTION("""COMPUTED_VALUE"""),"H")</f>
        <v>H</v>
      </c>
      <c r="E304" s="14" t="str">
        <f>IFERROR(__xludf.DUMMYFUNCTION("""COMPUTED_VALUE"""),"Turkiye")</f>
        <v>Turkiye</v>
      </c>
      <c r="F304" s="16" t="str">
        <f>IFERROR(__xludf.DUMMYFUNCTION("""COMPUTED_VALUE"""),"Royal Cert")</f>
        <v>Royal Cert</v>
      </c>
    </row>
    <row r="305">
      <c r="A305" s="14" t="str">
        <f>IFERROR(__xludf.DUMMYFUNCTION("""COMPUTED_VALUE"""),"NİGAR AKÇA DURDU")</f>
        <v>NİGAR AKÇA DURDU</v>
      </c>
      <c r="B305" s="14" t="str">
        <f>IFERROR(__xludf.DUMMYFUNCTION("""COMPUTED_VALUE"""),"2024-AT-C277")</f>
        <v>2024-AT-C277</v>
      </c>
      <c r="C305" s="17">
        <f>IFERROR(__xludf.DUMMYFUNCTION("""COMPUTED_VALUE"""),45534.0)</f>
        <v>45534</v>
      </c>
      <c r="D305" s="14" t="str">
        <f>IFERROR(__xludf.DUMMYFUNCTION("""COMPUTED_VALUE"""),"H")</f>
        <v>H</v>
      </c>
      <c r="E305" s="14" t="str">
        <f>IFERROR(__xludf.DUMMYFUNCTION("""COMPUTED_VALUE"""),"Turkiye")</f>
        <v>Turkiye</v>
      </c>
      <c r="F305" s="16" t="str">
        <f>IFERROR(__xludf.DUMMYFUNCTION("""COMPUTED_VALUE"""),"ALBERK QA ULUSLARARASI TEKNİK KONTROL VE BELGELENDIRME A.S.")</f>
        <v>ALBERK QA ULUSLARARASI TEKNİK KONTROL VE BELGELENDIRME A.S.</v>
      </c>
    </row>
    <row r="306">
      <c r="A306" s="14" t="str">
        <f>IFERROR(__xludf.DUMMYFUNCTION("""COMPUTED_VALUE"""),"Laila Biondani")</f>
        <v>Laila Biondani</v>
      </c>
      <c r="B306" s="14" t="str">
        <f>IFERROR(__xludf.DUMMYFUNCTION("""COMPUTED_VALUE"""),"2024-AT-C278")</f>
        <v>2024-AT-C278</v>
      </c>
      <c r="C306" s="17">
        <f>IFERROR(__xludf.DUMMYFUNCTION("""COMPUTED_VALUE"""),45534.0)</f>
        <v>45534</v>
      </c>
      <c r="D306" s="14" t="str">
        <f>IFERROR(__xludf.DUMMYFUNCTION("""COMPUTED_VALUE"""),"TO")</f>
        <v>TO</v>
      </c>
      <c r="E306" s="14" t="str">
        <f>IFERROR(__xludf.DUMMYFUNCTION("""COMPUTED_VALUE"""),"United Kingdom")</f>
        <v>United Kingdom</v>
      </c>
      <c r="F306" s="16" t="str">
        <f>IFERROR(__xludf.DUMMYFUNCTION("""COMPUTED_VALUE"""),"Vireo Srl")</f>
        <v>Vireo Srl</v>
      </c>
    </row>
    <row r="307">
      <c r="A307" s="14" t="str">
        <f>IFERROR(__xludf.DUMMYFUNCTION("""COMPUTED_VALUE"""),"Ecem Eren")</f>
        <v>Ecem Eren</v>
      </c>
      <c r="B307" s="14" t="str">
        <f>IFERROR(__xludf.DUMMYFUNCTION("""COMPUTED_VALUE"""),"2024-AT-C279")</f>
        <v>2024-AT-C279</v>
      </c>
      <c r="C307" s="17">
        <f>IFERROR(__xludf.DUMMYFUNCTION("""COMPUTED_VALUE"""),45534.0)</f>
        <v>45534</v>
      </c>
      <c r="D307" s="14" t="str">
        <f>IFERROR(__xludf.DUMMYFUNCTION("""COMPUTED_VALUE"""),"H")</f>
        <v>H</v>
      </c>
      <c r="E307" s="14" t="str">
        <f>IFERROR(__xludf.DUMMYFUNCTION("""COMPUTED_VALUE"""),"Turkiye")</f>
        <v>Turkiye</v>
      </c>
      <c r="F307" s="16" t="str">
        <f>IFERROR(__xludf.DUMMYFUNCTION("""COMPUTED_VALUE"""),"Royal Cert")</f>
        <v>Royal Cert</v>
      </c>
    </row>
    <row r="308">
      <c r="A308" s="14" t="str">
        <f>IFERROR(__xludf.DUMMYFUNCTION("""COMPUTED_VALUE"""),"Derya Yıldız")</f>
        <v>Derya Yıldız</v>
      </c>
      <c r="B308" s="14" t="str">
        <f>IFERROR(__xludf.DUMMYFUNCTION("""COMPUTED_VALUE"""),"2024-AT-C280")</f>
        <v>2024-AT-C280</v>
      </c>
      <c r="C308" s="17">
        <f>IFERROR(__xludf.DUMMYFUNCTION("""COMPUTED_VALUE"""),45534.0)</f>
        <v>45534</v>
      </c>
      <c r="D308" s="14" t="str">
        <f>IFERROR(__xludf.DUMMYFUNCTION("""COMPUTED_VALUE"""),"H")</f>
        <v>H</v>
      </c>
      <c r="E308" s="14" t="str">
        <f>IFERROR(__xludf.DUMMYFUNCTION("""COMPUTED_VALUE"""),"Turkiye")</f>
        <v>Turkiye</v>
      </c>
      <c r="F308" s="16" t="str">
        <f>IFERROR(__xludf.DUMMYFUNCTION("""COMPUTED_VALUE"""),"Royal Cert")</f>
        <v>Royal Cert</v>
      </c>
    </row>
    <row r="309">
      <c r="A309" s="14" t="str">
        <f>IFERROR(__xludf.DUMMYFUNCTION("""COMPUTED_VALUE"""),"Pembe Gül Cingi")</f>
        <v>Pembe Gül Cingi</v>
      </c>
      <c r="B309" s="14" t="str">
        <f>IFERROR(__xludf.DUMMYFUNCTION("""COMPUTED_VALUE"""),"2024-AT-C281")</f>
        <v>2024-AT-C281</v>
      </c>
      <c r="C309" s="17">
        <f>IFERROR(__xludf.DUMMYFUNCTION("""COMPUTED_VALUE"""),45534.0)</f>
        <v>45534</v>
      </c>
      <c r="D309" s="14" t="str">
        <f>IFERROR(__xludf.DUMMYFUNCTION("""COMPUTED_VALUE"""),"H")</f>
        <v>H</v>
      </c>
      <c r="E309" s="14" t="str">
        <f>IFERROR(__xludf.DUMMYFUNCTION("""COMPUTED_VALUE"""),"Turkiye")</f>
        <v>Turkiye</v>
      </c>
      <c r="F309" s="16" t="str">
        <f>IFERROR(__xludf.DUMMYFUNCTION("""COMPUTED_VALUE"""),"ISOQAR BELGELENDİRME")</f>
        <v>ISOQAR BELGELENDİRME</v>
      </c>
    </row>
    <row r="310">
      <c r="A310" s="14" t="str">
        <f>IFERROR(__xludf.DUMMYFUNCTION("""COMPUTED_VALUE"""),"NİGAR AKÇA DURDU")</f>
        <v>NİGAR AKÇA DURDU</v>
      </c>
      <c r="B310" s="14" t="str">
        <f>IFERROR(__xludf.DUMMYFUNCTION("""COMPUTED_VALUE"""),"2024-AT-C282")</f>
        <v>2024-AT-C282</v>
      </c>
      <c r="C310" s="17">
        <f>IFERROR(__xludf.DUMMYFUNCTION("""COMPUTED_VALUE"""),45534.0)</f>
        <v>45534</v>
      </c>
      <c r="D310" s="14" t="str">
        <f>IFERROR(__xludf.DUMMYFUNCTION("""COMPUTED_VALUE"""),"TO")</f>
        <v>TO</v>
      </c>
      <c r="E310" s="14" t="str">
        <f>IFERROR(__xludf.DUMMYFUNCTION("""COMPUTED_VALUE"""),"Turkiye")</f>
        <v>Turkiye</v>
      </c>
      <c r="F310" s="16" t="str">
        <f>IFERROR(__xludf.DUMMYFUNCTION("""COMPUTED_VALUE"""),"ALBERK QA ULUSLARARASI TEKNİK KONTROL VE BELGELENDIRME A.S.")</f>
        <v>ALBERK QA ULUSLARARASI TEKNİK KONTROL VE BELGELENDIRME A.S.</v>
      </c>
    </row>
    <row r="311">
      <c r="A311" s="14" t="str">
        <f>IFERROR(__xludf.DUMMYFUNCTION("""COMPUTED_VALUE"""),"Azize Çelikdere")</f>
        <v>Azize Çelikdere</v>
      </c>
      <c r="B311" s="14" t="str">
        <f>IFERROR(__xludf.DUMMYFUNCTION("""COMPUTED_VALUE"""),"2024-AT-C283")</f>
        <v>2024-AT-C283</v>
      </c>
      <c r="C311" s="17">
        <f>IFERROR(__xludf.DUMMYFUNCTION("""COMPUTED_VALUE"""),45534.0)</f>
        <v>45534</v>
      </c>
      <c r="D311" s="14" t="str">
        <f>IFERROR(__xludf.DUMMYFUNCTION("""COMPUTED_VALUE"""),"H")</f>
        <v>H</v>
      </c>
      <c r="E311" s="14" t="str">
        <f>IFERROR(__xludf.DUMMYFUNCTION("""COMPUTED_VALUE"""),"Turkiye")</f>
        <v>Turkiye</v>
      </c>
      <c r="F311" s="16" t="str">
        <f>IFERROR(__xludf.DUMMYFUNCTION("""COMPUTED_VALUE"""),"Rentokil Initial")</f>
        <v>Rentokil Initial</v>
      </c>
    </row>
    <row r="312">
      <c r="A312" s="14" t="str">
        <f>IFERROR(__xludf.DUMMYFUNCTION("""COMPUTED_VALUE"""),"DİLARA DİDEM TEMUR")</f>
        <v>DİLARA DİDEM TEMUR</v>
      </c>
      <c r="B312" s="14" t="str">
        <f>IFERROR(__xludf.DUMMYFUNCTION("""COMPUTED_VALUE"""),"2024-AT-C284")</f>
        <v>2024-AT-C284</v>
      </c>
      <c r="C312" s="17">
        <f>IFERROR(__xludf.DUMMYFUNCTION("""COMPUTED_VALUE"""),45534.0)</f>
        <v>45534</v>
      </c>
      <c r="D312" s="14" t="str">
        <f>IFERROR(__xludf.DUMMYFUNCTION("""COMPUTED_VALUE"""),"H")</f>
        <v>H</v>
      </c>
      <c r="E312" s="14" t="str">
        <f>IFERROR(__xludf.DUMMYFUNCTION("""COMPUTED_VALUE"""),"Turkiye")</f>
        <v>Turkiye</v>
      </c>
      <c r="F312" s="16" t="str">
        <f>IFERROR(__xludf.DUMMYFUNCTION("""COMPUTED_VALUE"""),"DK CONSULTNCY")</f>
        <v>DK CONSULTNCY</v>
      </c>
    </row>
    <row r="313">
      <c r="A313" s="14" t="str">
        <f>IFERROR(__xludf.DUMMYFUNCTION("""COMPUTED_VALUE"""),"Elisa Lattuada")</f>
        <v>Elisa Lattuada</v>
      </c>
      <c r="B313" s="14" t="str">
        <f>IFERROR(__xludf.DUMMYFUNCTION("""COMPUTED_VALUE"""),"2024-AT-C285")</f>
        <v>2024-AT-C285</v>
      </c>
      <c r="C313" s="17">
        <f>IFERROR(__xludf.DUMMYFUNCTION("""COMPUTED_VALUE"""),45534.0)</f>
        <v>45534</v>
      </c>
      <c r="D313" s="14" t="str">
        <f>IFERROR(__xludf.DUMMYFUNCTION("""COMPUTED_VALUE"""),"H")</f>
        <v>H</v>
      </c>
      <c r="E313" s="14" t="str">
        <f>IFERROR(__xludf.DUMMYFUNCTION("""COMPUTED_VALUE"""),"Italy")</f>
        <v>Italy</v>
      </c>
      <c r="F313" s="16" t="str">
        <f>IFERROR(__xludf.DUMMYFUNCTION("""COMPUTED_VALUE"""),"Dream&amp;Charme (DCA)")</f>
        <v>Dream&amp;Charme (DCA)</v>
      </c>
    </row>
    <row r="314">
      <c r="A314" s="14" t="str">
        <f>IFERROR(__xludf.DUMMYFUNCTION("""COMPUTED_VALUE"""),"Anna Zavadskaya")</f>
        <v>Anna Zavadskaya</v>
      </c>
      <c r="B314" s="14" t="str">
        <f>IFERROR(__xludf.DUMMYFUNCTION("""COMPUTED_VALUE"""),"2024-AT-C286")</f>
        <v>2024-AT-C286</v>
      </c>
      <c r="C314" s="17">
        <f>IFERROR(__xludf.DUMMYFUNCTION("""COMPUTED_VALUE"""),45534.0)</f>
        <v>45534</v>
      </c>
      <c r="D314" s="14" t="str">
        <f>IFERROR(__xludf.DUMMYFUNCTION("""COMPUTED_VALUE"""),"H")</f>
        <v>H</v>
      </c>
      <c r="E314" s="14" t="str">
        <f>IFERROR(__xludf.DUMMYFUNCTION("""COMPUTED_VALUE"""),"Italy")</f>
        <v>Italy</v>
      </c>
      <c r="F314" s="16" t="str">
        <f>IFERROR(__xludf.DUMMYFUNCTION("""COMPUTED_VALUE"""),"UCSL United Certification Systems Limited")</f>
        <v>UCSL United Certification Systems Limited</v>
      </c>
    </row>
    <row r="315">
      <c r="A315" s="14" t="str">
        <f>IFERROR(__xludf.DUMMYFUNCTION("""COMPUTED_VALUE"""),"Margherita Vialetto")</f>
        <v>Margherita Vialetto</v>
      </c>
      <c r="B315" s="14" t="str">
        <f>IFERROR(__xludf.DUMMYFUNCTION("""COMPUTED_VALUE"""),"2024-AT-C287")</f>
        <v>2024-AT-C287</v>
      </c>
      <c r="C315" s="17">
        <f>IFERROR(__xludf.DUMMYFUNCTION("""COMPUTED_VALUE"""),45548.0)</f>
        <v>45548</v>
      </c>
      <c r="D315" s="14" t="str">
        <f>IFERROR(__xludf.DUMMYFUNCTION("""COMPUTED_VALUE"""),"H")</f>
        <v>H</v>
      </c>
      <c r="E315" s="14" t="str">
        <f>IFERROR(__xludf.DUMMYFUNCTION("""COMPUTED_VALUE"""),"Italy")</f>
        <v>Italy</v>
      </c>
      <c r="F315" s="16"/>
    </row>
    <row r="316">
      <c r="A316" s="14" t="str">
        <f>IFERROR(__xludf.DUMMYFUNCTION("""COMPUTED_VALUE"""),"Enrico Plateo")</f>
        <v>Enrico Plateo</v>
      </c>
      <c r="B316" s="14" t="str">
        <f>IFERROR(__xludf.DUMMYFUNCTION("""COMPUTED_VALUE"""),"2024-AT-C288")</f>
        <v>2024-AT-C288</v>
      </c>
      <c r="C316" s="17">
        <f>IFERROR(__xludf.DUMMYFUNCTION("""COMPUTED_VALUE"""),45548.0)</f>
        <v>45548</v>
      </c>
      <c r="D316" s="14" t="str">
        <f>IFERROR(__xludf.DUMMYFUNCTION("""COMPUTED_VALUE"""),"H")</f>
        <v>H</v>
      </c>
      <c r="E316" s="14" t="str">
        <f>IFERROR(__xludf.DUMMYFUNCTION("""COMPUTED_VALUE"""),"Italy")</f>
        <v>Italy</v>
      </c>
      <c r="F316" s="16" t="str">
        <f>IFERROR(__xludf.DUMMYFUNCTION("""COMPUTED_VALUE"""),"n/a")</f>
        <v>n/a</v>
      </c>
    </row>
    <row r="317">
      <c r="A317" s="14" t="str">
        <f>IFERROR(__xludf.DUMMYFUNCTION("""COMPUTED_VALUE"""),"Filippo Caporale")</f>
        <v>Filippo Caporale</v>
      </c>
      <c r="B317" s="14" t="str">
        <f>IFERROR(__xludf.DUMMYFUNCTION("""COMPUTED_VALUE"""),"2024-AT-C289")</f>
        <v>2024-AT-C289</v>
      </c>
      <c r="C317" s="17">
        <f>IFERROR(__xludf.DUMMYFUNCTION("""COMPUTED_VALUE"""),45548.0)</f>
        <v>45548</v>
      </c>
      <c r="D317" s="14" t="str">
        <f>IFERROR(__xludf.DUMMYFUNCTION("""COMPUTED_VALUE"""),"TO")</f>
        <v>TO</v>
      </c>
      <c r="E317" s="14" t="str">
        <f>IFERROR(__xludf.DUMMYFUNCTION("""COMPUTED_VALUE"""),"Italy")</f>
        <v>Italy</v>
      </c>
      <c r="F317" s="16" t="str">
        <f>IFERROR(__xludf.DUMMYFUNCTION("""COMPUTED_VALUE"""),"Vireo Srl")</f>
        <v>Vireo Srl</v>
      </c>
    </row>
    <row r="318">
      <c r="A318" s="14" t="str">
        <f>IFERROR(__xludf.DUMMYFUNCTION("""COMPUTED_VALUE"""),"Carlo Fiandesio Vallante")</f>
        <v>Carlo Fiandesio Vallante</v>
      </c>
      <c r="B318" s="14" t="str">
        <f>IFERROR(__xludf.DUMMYFUNCTION("""COMPUTED_VALUE"""),"2024-AT-C290")</f>
        <v>2024-AT-C290</v>
      </c>
      <c r="C318" s="17">
        <f>IFERROR(__xludf.DUMMYFUNCTION("""COMPUTED_VALUE"""),45548.0)</f>
        <v>45548</v>
      </c>
      <c r="D318" s="14" t="str">
        <f>IFERROR(__xludf.DUMMYFUNCTION("""COMPUTED_VALUE"""),"TO")</f>
        <v>TO</v>
      </c>
      <c r="E318" s="14" t="str">
        <f>IFERROR(__xludf.DUMMYFUNCTION("""COMPUTED_VALUE"""),"Italy")</f>
        <v>Italy</v>
      </c>
      <c r="F318" s="16" t="str">
        <f>IFERROR(__xludf.DUMMYFUNCTION("""COMPUTED_VALUE"""),"Vireo Srl")</f>
        <v>Vireo Srl</v>
      </c>
    </row>
    <row r="319">
      <c r="A319" s="14" t="str">
        <f>IFERROR(__xludf.DUMMYFUNCTION("""COMPUTED_VALUE"""),"H.Pelin Erol")</f>
        <v>H.Pelin Erol</v>
      </c>
      <c r="B319" s="14" t="str">
        <f>IFERROR(__xludf.DUMMYFUNCTION("""COMPUTED_VALUE"""),"2024-AT-C291")</f>
        <v>2024-AT-C291</v>
      </c>
      <c r="C319" s="17">
        <f>IFERROR(__xludf.DUMMYFUNCTION("""COMPUTED_VALUE"""),45548.0)</f>
        <v>45548</v>
      </c>
      <c r="D319" s="14" t="str">
        <f>IFERROR(__xludf.DUMMYFUNCTION("""COMPUTED_VALUE"""),"H")</f>
        <v>H</v>
      </c>
      <c r="E319" s="14" t="str">
        <f>IFERROR(__xludf.DUMMYFUNCTION("""COMPUTED_VALUE"""),"Turkiye")</f>
        <v>Turkiye</v>
      </c>
      <c r="F319" s="16" t="str">
        <f>IFERROR(__xludf.DUMMYFUNCTION("""COMPUTED_VALUE"""),"Royal Cert")</f>
        <v>Royal Cert</v>
      </c>
    </row>
    <row r="320">
      <c r="A320" s="14" t="str">
        <f>IFERROR(__xludf.DUMMYFUNCTION("""COMPUTED_VALUE"""),"Dilay Durmuş")</f>
        <v>Dilay Durmuş</v>
      </c>
      <c r="B320" s="14" t="str">
        <f>IFERROR(__xludf.DUMMYFUNCTION("""COMPUTED_VALUE"""),"2024-AT-C292")</f>
        <v>2024-AT-C292</v>
      </c>
      <c r="C320" s="17">
        <f>IFERROR(__xludf.DUMMYFUNCTION("""COMPUTED_VALUE"""),45548.0)</f>
        <v>45548</v>
      </c>
      <c r="D320" s="14" t="str">
        <f>IFERROR(__xludf.DUMMYFUNCTION("""COMPUTED_VALUE"""),"H")</f>
        <v>H</v>
      </c>
      <c r="E320" s="14" t="str">
        <f>IFERROR(__xludf.DUMMYFUNCTION("""COMPUTED_VALUE"""),"Turkiye")</f>
        <v>Turkiye</v>
      </c>
      <c r="F320" s="16" t="str">
        <f>IFERROR(__xludf.DUMMYFUNCTION("""COMPUTED_VALUE"""),"Bureau Veritas")</f>
        <v>Bureau Veritas</v>
      </c>
    </row>
    <row r="321">
      <c r="A321" s="14" t="str">
        <f>IFERROR(__xludf.DUMMYFUNCTION("""COMPUTED_VALUE"""),"Aslıhan Aydın")</f>
        <v>Aslıhan Aydın</v>
      </c>
      <c r="B321" s="14" t="str">
        <f>IFERROR(__xludf.DUMMYFUNCTION("""COMPUTED_VALUE"""),"2024-AT-C293")</f>
        <v>2024-AT-C293</v>
      </c>
      <c r="C321" s="17">
        <f>IFERROR(__xludf.DUMMYFUNCTION("""COMPUTED_VALUE"""),45548.0)</f>
        <v>45548</v>
      </c>
      <c r="D321" s="14" t="str">
        <f>IFERROR(__xludf.DUMMYFUNCTION("""COMPUTED_VALUE"""),"H")</f>
        <v>H</v>
      </c>
      <c r="E321" s="14" t="str">
        <f>IFERROR(__xludf.DUMMYFUNCTION("""COMPUTED_VALUE"""),"Turkiye")</f>
        <v>Turkiye</v>
      </c>
      <c r="F321" s="16" t="str">
        <f>IFERROR(__xludf.DUMMYFUNCTION("""COMPUTED_VALUE"""),"Royal Cert")</f>
        <v>Royal Cert</v>
      </c>
    </row>
    <row r="322">
      <c r="A322" s="14" t="str">
        <f>IFERROR(__xludf.DUMMYFUNCTION("""COMPUTED_VALUE"""),"Anna Zavadskaya")</f>
        <v>Anna Zavadskaya</v>
      </c>
      <c r="B322" s="14" t="str">
        <f>IFERROR(__xludf.DUMMYFUNCTION("""COMPUTED_VALUE"""),"2024-AT-C294")</f>
        <v>2024-AT-C294</v>
      </c>
      <c r="C322" s="17">
        <f>IFERROR(__xludf.DUMMYFUNCTION("""COMPUTED_VALUE"""),45548.0)</f>
        <v>45548</v>
      </c>
      <c r="D322" s="14" t="str">
        <f>IFERROR(__xludf.DUMMYFUNCTION("""COMPUTED_VALUE"""),"TO")</f>
        <v>TO</v>
      </c>
      <c r="E322" s="14" t="str">
        <f>IFERROR(__xludf.DUMMYFUNCTION("""COMPUTED_VALUE"""),"Italy")</f>
        <v>Italy</v>
      </c>
      <c r="F322" s="16" t="str">
        <f>IFERROR(__xludf.DUMMYFUNCTION("""COMPUTED_VALUE"""),"UCSL United Certification Systems Limited")</f>
        <v>UCSL United Certification Systems Limited</v>
      </c>
    </row>
    <row r="323">
      <c r="A323" s="14" t="str">
        <f>IFERROR(__xludf.DUMMYFUNCTION("""COMPUTED_VALUE"""),"Sabina Mazzi")</f>
        <v>Sabina Mazzi</v>
      </c>
      <c r="B323" s="14" t="str">
        <f>IFERROR(__xludf.DUMMYFUNCTION("""COMPUTED_VALUE"""),"2024-AT-C295")</f>
        <v>2024-AT-C295</v>
      </c>
      <c r="C323" s="17">
        <f>IFERROR(__xludf.DUMMYFUNCTION("""COMPUTED_VALUE"""),45548.0)</f>
        <v>45548</v>
      </c>
      <c r="D323" s="14" t="str">
        <f>IFERROR(__xludf.DUMMYFUNCTION("""COMPUTED_VALUE"""),"H")</f>
        <v>H</v>
      </c>
      <c r="E323" s="14" t="str">
        <f>IFERROR(__xludf.DUMMYFUNCTION("""COMPUTED_VALUE"""),"Italy")</f>
        <v>Italy</v>
      </c>
      <c r="F323" s="16" t="str">
        <f>IFERROR(__xludf.DUMMYFUNCTION("""COMPUTED_VALUE"""),"Freelance")</f>
        <v>Freelance</v>
      </c>
    </row>
    <row r="324">
      <c r="A324" s="14" t="str">
        <f>IFERROR(__xludf.DUMMYFUNCTION("""COMPUTED_VALUE"""),"MÜCAHİT GÜRLER")</f>
        <v>MÜCAHİT GÜRLER</v>
      </c>
      <c r="B324" s="14" t="str">
        <f>IFERROR(__xludf.DUMMYFUNCTION("""COMPUTED_VALUE"""),"2024-AT-C296")</f>
        <v>2024-AT-C296</v>
      </c>
      <c r="C324" s="17">
        <f>IFERROR(__xludf.DUMMYFUNCTION("""COMPUTED_VALUE"""),45574.0)</f>
        <v>45574</v>
      </c>
      <c r="D324" s="14" t="str">
        <f>IFERROR(__xludf.DUMMYFUNCTION("""COMPUTED_VALUE"""),"TO")</f>
        <v>TO</v>
      </c>
      <c r="E324" s="14" t="str">
        <f>IFERROR(__xludf.DUMMYFUNCTION("""COMPUTED_VALUE"""),"Turkiye")</f>
        <v>Turkiye</v>
      </c>
      <c r="F324" s="16" t="str">
        <f>IFERROR(__xludf.DUMMYFUNCTION("""COMPUTED_VALUE"""),"Ezel Kalite Teknik Kontrol Belgelendirme Sanayi ve Ticaret Limited Şirketi")</f>
        <v>Ezel Kalite Teknik Kontrol Belgelendirme Sanayi ve Ticaret Limited Şirketi</v>
      </c>
    </row>
    <row r="325">
      <c r="A325" s="14" t="str">
        <f>IFERROR(__xludf.DUMMYFUNCTION("""COMPUTED_VALUE"""),"Saniye Yıldırım")</f>
        <v>Saniye Yıldırım</v>
      </c>
      <c r="B325" s="14" t="str">
        <f>IFERROR(__xludf.DUMMYFUNCTION("""COMPUTED_VALUE"""),"2024-AT-C297")</f>
        <v>2024-AT-C297</v>
      </c>
      <c r="C325" s="17">
        <f>IFERROR(__xludf.DUMMYFUNCTION("""COMPUTED_VALUE"""),45574.0)</f>
        <v>45574</v>
      </c>
      <c r="D325" s="14" t="str">
        <f>IFERROR(__xludf.DUMMYFUNCTION("""COMPUTED_VALUE"""),"TO")</f>
        <v>TO</v>
      </c>
      <c r="E325" s="14" t="str">
        <f>IFERROR(__xludf.DUMMYFUNCTION("""COMPUTED_VALUE"""),"Turkiye")</f>
        <v>Turkiye</v>
      </c>
      <c r="F325" s="16" t="str">
        <f>IFERROR(__xludf.DUMMYFUNCTION("""COMPUTED_VALUE"""),"Control Union Gözetim ve Belgelendirme Ltd. Şti.")</f>
        <v>Control Union Gözetim ve Belgelendirme Ltd. Şti.</v>
      </c>
    </row>
    <row r="326">
      <c r="A326" s="14" t="str">
        <f>IFERROR(__xludf.DUMMYFUNCTION("""COMPUTED_VALUE"""),"DİLARA DİDEM TEMUR")</f>
        <v>DİLARA DİDEM TEMUR</v>
      </c>
      <c r="B326" s="14" t="str">
        <f>IFERROR(__xludf.DUMMYFUNCTION("""COMPUTED_VALUE"""),"2024-AT-C298")</f>
        <v>2024-AT-C298</v>
      </c>
      <c r="C326" s="17">
        <f>IFERROR(__xludf.DUMMYFUNCTION("""COMPUTED_VALUE"""),45574.0)</f>
        <v>45574</v>
      </c>
      <c r="D326" s="14" t="str">
        <f>IFERROR(__xludf.DUMMYFUNCTION("""COMPUTED_VALUE"""),"TO")</f>
        <v>TO</v>
      </c>
      <c r="E326" s="14" t="str">
        <f>IFERROR(__xludf.DUMMYFUNCTION("""COMPUTED_VALUE"""),"Turkiye")</f>
        <v>Turkiye</v>
      </c>
      <c r="F326" s="16" t="str">
        <f>IFERROR(__xludf.DUMMYFUNCTION("""COMPUTED_VALUE"""),"DK CONSULTNCY")</f>
        <v>DK CONSULTNCY</v>
      </c>
    </row>
    <row r="327">
      <c r="A327" s="14" t="str">
        <f>IFERROR(__xludf.DUMMYFUNCTION("""COMPUTED_VALUE"""),"ÖZLEM YILMAZ KIRARAZ")</f>
        <v>ÖZLEM YILMAZ KIRARAZ</v>
      </c>
      <c r="B327" s="14" t="str">
        <f>IFERROR(__xludf.DUMMYFUNCTION("""COMPUTED_VALUE"""),"2024-AT-C299")</f>
        <v>2024-AT-C299</v>
      </c>
      <c r="C327" s="17">
        <f>IFERROR(__xludf.DUMMYFUNCTION("""COMPUTED_VALUE"""),45574.0)</f>
        <v>45574</v>
      </c>
      <c r="D327" s="14" t="str">
        <f>IFERROR(__xludf.DUMMYFUNCTION("""COMPUTED_VALUE"""),"H")</f>
        <v>H</v>
      </c>
      <c r="E327" s="14" t="str">
        <f>IFERROR(__xludf.DUMMYFUNCTION("""COMPUTED_VALUE"""),"Turkiye")</f>
        <v>Turkiye</v>
      </c>
      <c r="F327" s="16" t="str">
        <f>IFERROR(__xludf.DUMMYFUNCTION("""COMPUTED_VALUE"""),"ALBERK QA ULUSLARARASI TEKNİK KONTROL VE BELGELENDIRME A.S.")</f>
        <v>ALBERK QA ULUSLARARASI TEKNİK KONTROL VE BELGELENDIRME A.S.</v>
      </c>
    </row>
    <row r="328">
      <c r="A328" s="14" t="str">
        <f>IFERROR(__xludf.DUMMYFUNCTION("""COMPUTED_VALUE"""),"Çiğdem Bekmezci")</f>
        <v>Çiğdem Bekmezci</v>
      </c>
      <c r="B328" s="14" t="str">
        <f>IFERROR(__xludf.DUMMYFUNCTION("""COMPUTED_VALUE"""),"2024-AT-C300")</f>
        <v>2024-AT-C300</v>
      </c>
      <c r="C328" s="17">
        <f>IFERROR(__xludf.DUMMYFUNCTION("""COMPUTED_VALUE"""),45574.0)</f>
        <v>45574</v>
      </c>
      <c r="D328" s="14" t="str">
        <f>IFERROR(__xludf.DUMMYFUNCTION("""COMPUTED_VALUE"""),"H")</f>
        <v>H</v>
      </c>
      <c r="E328" s="14" t="str">
        <f>IFERROR(__xludf.DUMMYFUNCTION("""COMPUTED_VALUE"""),"Turkiye")</f>
        <v>Turkiye</v>
      </c>
      <c r="F328" s="16" t="str">
        <f>IFERROR(__xludf.DUMMYFUNCTION("""COMPUTED_VALUE"""),"Ceo Arıtma")</f>
        <v>Ceo Arıtma</v>
      </c>
    </row>
    <row r="329">
      <c r="A329" s="14" t="str">
        <f>IFERROR(__xludf.DUMMYFUNCTION("""COMPUTED_VALUE"""),"BURCU Ünal TERZİOĞLU")</f>
        <v>BURCU Ünal TERZİOĞLU</v>
      </c>
      <c r="B329" s="14" t="str">
        <f>IFERROR(__xludf.DUMMYFUNCTION("""COMPUTED_VALUE"""),"2024-AT-C301")</f>
        <v>2024-AT-C301</v>
      </c>
      <c r="C329" s="17">
        <f>IFERROR(__xludf.DUMMYFUNCTION("""COMPUTED_VALUE"""),45574.0)</f>
        <v>45574</v>
      </c>
      <c r="D329" s="14" t="str">
        <f>IFERROR(__xludf.DUMMYFUNCTION("""COMPUTED_VALUE"""),"H")</f>
        <v>H</v>
      </c>
      <c r="E329" s="14" t="str">
        <f>IFERROR(__xludf.DUMMYFUNCTION("""COMPUTED_VALUE"""),"#N/A")</f>
        <v>#N/A</v>
      </c>
      <c r="F329" s="16" t="str">
        <f>IFERROR(__xludf.DUMMYFUNCTION("""COMPUTED_VALUE"""),"#N/A")</f>
        <v>#N/A</v>
      </c>
    </row>
    <row r="330">
      <c r="A330" s="14" t="str">
        <f>IFERROR(__xludf.DUMMYFUNCTION("""COMPUTED_VALUE"""),"Mustafa Kayacan")</f>
        <v>Mustafa Kayacan</v>
      </c>
      <c r="B330" s="14" t="str">
        <f>IFERROR(__xludf.DUMMYFUNCTION("""COMPUTED_VALUE"""),"2024-AT-C302")</f>
        <v>2024-AT-C302</v>
      </c>
      <c r="C330" s="17">
        <f>IFERROR(__xludf.DUMMYFUNCTION("""COMPUTED_VALUE"""),45574.0)</f>
        <v>45574</v>
      </c>
      <c r="D330" s="14" t="str">
        <f>IFERROR(__xludf.DUMMYFUNCTION("""COMPUTED_VALUE"""),"H")</f>
        <v>H</v>
      </c>
      <c r="E330" s="14" t="str">
        <f>IFERROR(__xludf.DUMMYFUNCTION("""COMPUTED_VALUE"""),"Turkiye")</f>
        <v>Turkiye</v>
      </c>
      <c r="F330" s="16" t="str">
        <f>IFERROR(__xludf.DUMMYFUNCTION("""COMPUTED_VALUE"""),"TÜV AUSTRIA TURK")</f>
        <v>TÜV AUSTRIA TURK</v>
      </c>
    </row>
    <row r="331">
      <c r="A331" s="14" t="str">
        <f>IFERROR(__xludf.DUMMYFUNCTION("""COMPUTED_VALUE"""),"Delphine Malleret King")</f>
        <v>Delphine Malleret King</v>
      </c>
      <c r="B331" s="14" t="str">
        <f>IFERROR(__xludf.DUMMYFUNCTION("""COMPUTED_VALUE"""),"2024-AT-C303")</f>
        <v>2024-AT-C303</v>
      </c>
      <c r="C331" s="17">
        <f>IFERROR(__xludf.DUMMYFUNCTION("""COMPUTED_VALUE"""),45574.0)</f>
        <v>45574</v>
      </c>
      <c r="D331" s="14" t="str">
        <f>IFERROR(__xludf.DUMMYFUNCTION("""COMPUTED_VALUE"""),"H")</f>
        <v>H</v>
      </c>
      <c r="E331" s="14" t="str">
        <f>IFERROR(__xludf.DUMMYFUNCTION("""COMPUTED_VALUE"""),"United Kingdom")</f>
        <v>United Kingdom</v>
      </c>
      <c r="F331" s="16" t="str">
        <f>IFERROR(__xludf.DUMMYFUNCTION("""COMPUTED_VALUE"""),"The Long Run")</f>
        <v>The Long Run</v>
      </c>
    </row>
    <row r="332">
      <c r="A332" s="14" t="str">
        <f>IFERROR(__xludf.DUMMYFUNCTION("""COMPUTED_VALUE"""),"Susanne Reber")</f>
        <v>Susanne Reber</v>
      </c>
      <c r="B332" s="14" t="str">
        <f>IFERROR(__xludf.DUMMYFUNCTION("""COMPUTED_VALUE"""),"2024-AT-C304")</f>
        <v>2024-AT-C304</v>
      </c>
      <c r="C332" s="17">
        <f>IFERROR(__xludf.DUMMYFUNCTION("""COMPUTED_VALUE"""),45574.0)</f>
        <v>45574</v>
      </c>
      <c r="D332" s="14" t="str">
        <f>IFERROR(__xludf.DUMMYFUNCTION("""COMPUTED_VALUE"""),"TO")</f>
        <v>TO</v>
      </c>
      <c r="E332" s="14" t="str">
        <f>IFERROR(__xludf.DUMMYFUNCTION("""COMPUTED_VALUE"""),"Switzerland")</f>
        <v>Switzerland</v>
      </c>
      <c r="F332" s="16" t="str">
        <f>IFERROR(__xludf.DUMMYFUNCTION("""COMPUTED_VALUE"""),"Swisscontact")</f>
        <v>Swisscontact</v>
      </c>
    </row>
    <row r="333">
      <c r="A333" s="14" t="str">
        <f>IFERROR(__xludf.DUMMYFUNCTION("""COMPUTED_VALUE"""),"Jie Ren")</f>
        <v>Jie Ren</v>
      </c>
      <c r="B333" s="14" t="str">
        <f>IFERROR(__xludf.DUMMYFUNCTION("""COMPUTED_VALUE"""),"2024-AT-C305")</f>
        <v>2024-AT-C305</v>
      </c>
      <c r="C333" s="17">
        <f>IFERROR(__xludf.DUMMYFUNCTION("""COMPUTED_VALUE"""),45595.0)</f>
        <v>45595</v>
      </c>
      <c r="D333" s="14" t="str">
        <f>IFERROR(__xludf.DUMMYFUNCTION("""COMPUTED_VALUE"""),"H")</f>
        <v>H</v>
      </c>
      <c r="E333" s="14" t="str">
        <f>IFERROR(__xludf.DUMMYFUNCTION("""COMPUTED_VALUE"""),"China")</f>
        <v>China</v>
      </c>
      <c r="F333" s="16" t="str">
        <f>IFERROR(__xludf.DUMMYFUNCTION("""COMPUTED_VALUE"""),"Bureau Veritas")</f>
        <v>Bureau Veritas</v>
      </c>
    </row>
    <row r="334">
      <c r="A334" s="14" t="str">
        <f>IFERROR(__xludf.DUMMYFUNCTION("""COMPUTED_VALUE"""),"Valentina Favale")</f>
        <v>Valentina Favale</v>
      </c>
      <c r="B334" s="14" t="str">
        <f>IFERROR(__xludf.DUMMYFUNCTION("""COMPUTED_VALUE"""),"2024-AT-C306")</f>
        <v>2024-AT-C306</v>
      </c>
      <c r="C334" s="17">
        <f>IFERROR(__xludf.DUMMYFUNCTION("""COMPUTED_VALUE"""),45595.0)</f>
        <v>45595</v>
      </c>
      <c r="D334" s="14" t="str">
        <f>IFERROR(__xludf.DUMMYFUNCTION("""COMPUTED_VALUE"""),"TO")</f>
        <v>TO</v>
      </c>
      <c r="E334" s="14" t="str">
        <f>IFERROR(__xludf.DUMMYFUNCTION("""COMPUTED_VALUE"""),"Italy")</f>
        <v>Italy</v>
      </c>
      <c r="F334" s="16" t="str">
        <f>IFERROR(__xludf.DUMMYFUNCTION("""COMPUTED_VALUE"""),"Dream&amp;Charme (DCA)")</f>
        <v>Dream&amp;Charme (DCA)</v>
      </c>
    </row>
    <row r="335">
      <c r="A335" s="14" t="str">
        <f>IFERROR(__xludf.DUMMYFUNCTION("""COMPUTED_VALUE"""),"Kiara Muka")</f>
        <v>Kiara Muka</v>
      </c>
      <c r="B335" s="14" t="str">
        <f>IFERROR(__xludf.DUMMYFUNCTION("""COMPUTED_VALUE"""),"2024-AT-C307")</f>
        <v>2024-AT-C307</v>
      </c>
      <c r="C335" s="17">
        <f>IFERROR(__xludf.DUMMYFUNCTION("""COMPUTED_VALUE"""),45595.0)</f>
        <v>45595</v>
      </c>
      <c r="D335" s="14" t="str">
        <f>IFERROR(__xludf.DUMMYFUNCTION("""COMPUTED_VALUE"""),"H")</f>
        <v>H</v>
      </c>
      <c r="E335" s="14" t="str">
        <f>IFERROR(__xludf.DUMMYFUNCTION("""COMPUTED_VALUE"""),"Albania")</f>
        <v>Albania</v>
      </c>
      <c r="F335" s="16" t="str">
        <f>IFERROR(__xludf.DUMMYFUNCTION("""COMPUTED_VALUE"""),"Ministry of Tourism and Environment")</f>
        <v>Ministry of Tourism and Environment</v>
      </c>
    </row>
    <row r="336">
      <c r="A336" s="14" t="str">
        <f>IFERROR(__xludf.DUMMYFUNCTION("""COMPUTED_VALUE"""),"Jerome Memoracion")</f>
        <v>Jerome Memoracion</v>
      </c>
      <c r="B336" s="14" t="str">
        <f>IFERROR(__xludf.DUMMYFUNCTION("""COMPUTED_VALUE"""),"2024-AT-C308")</f>
        <v>2024-AT-C308</v>
      </c>
      <c r="C336" s="17">
        <f>IFERROR(__xludf.DUMMYFUNCTION("""COMPUTED_VALUE"""),45595.0)</f>
        <v>45595</v>
      </c>
      <c r="D336" s="14" t="str">
        <f>IFERROR(__xludf.DUMMYFUNCTION("""COMPUTED_VALUE"""),"TO")</f>
        <v>TO</v>
      </c>
      <c r="E336" s="14" t="str">
        <f>IFERROR(__xludf.DUMMYFUNCTION("""COMPUTED_VALUE"""),"Philippines")</f>
        <v>Philippines</v>
      </c>
      <c r="F336" s="16" t="str">
        <f>IFERROR(__xludf.DUMMYFUNCTION("""COMPUTED_VALUE"""),"Control Union Philippines, Inc.")</f>
        <v>Control Union Philippines, Inc.</v>
      </c>
    </row>
    <row r="337">
      <c r="A337" s="14" t="str">
        <f>IFERROR(__xludf.DUMMYFUNCTION("""COMPUTED_VALUE"""),"Susanne Reber")</f>
        <v>Susanne Reber</v>
      </c>
      <c r="B337" s="14" t="str">
        <f>IFERROR(__xludf.DUMMYFUNCTION("""COMPUTED_VALUE"""),"2024-AT-C309")</f>
        <v>2024-AT-C309</v>
      </c>
      <c r="C337" s="17">
        <f>IFERROR(__xludf.DUMMYFUNCTION("""COMPUTED_VALUE"""),45595.0)</f>
        <v>45595</v>
      </c>
      <c r="D337" s="14" t="str">
        <f>IFERROR(__xludf.DUMMYFUNCTION("""COMPUTED_VALUE"""),"H")</f>
        <v>H</v>
      </c>
      <c r="E337" s="14" t="str">
        <f>IFERROR(__xludf.DUMMYFUNCTION("""COMPUTED_VALUE"""),"Switzerland")</f>
        <v>Switzerland</v>
      </c>
      <c r="F337" s="16" t="str">
        <f>IFERROR(__xludf.DUMMYFUNCTION("""COMPUTED_VALUE"""),"Swisscontact")</f>
        <v>Swisscontact</v>
      </c>
    </row>
    <row r="338">
      <c r="A338" s="14" t="str">
        <f>IFERROR(__xludf.DUMMYFUNCTION("""COMPUTED_VALUE"""),"Blerina Ago")</f>
        <v>Blerina Ago</v>
      </c>
      <c r="B338" s="14" t="str">
        <f>IFERROR(__xludf.DUMMYFUNCTION("""COMPUTED_VALUE"""),"2024-AT-C310")</f>
        <v>2024-AT-C310</v>
      </c>
      <c r="C338" s="17">
        <f>IFERROR(__xludf.DUMMYFUNCTION("""COMPUTED_VALUE"""),45595.0)</f>
        <v>45595</v>
      </c>
      <c r="D338" s="14" t="str">
        <f>IFERROR(__xludf.DUMMYFUNCTION("""COMPUTED_VALUE"""),"H")</f>
        <v>H</v>
      </c>
      <c r="E338" s="14" t="str">
        <f>IFERROR(__xludf.DUMMYFUNCTION("""COMPUTED_VALUE"""),"Albania")</f>
        <v>Albania</v>
      </c>
      <c r="F338" s="16" t="str">
        <f>IFERROR(__xludf.DUMMYFUNCTION("""COMPUTED_VALUE"""),"Active Albania")</f>
        <v>Active Albania</v>
      </c>
    </row>
    <row r="339">
      <c r="A339" s="14" t="str">
        <f>IFERROR(__xludf.DUMMYFUNCTION("""COMPUTED_VALUE"""),"Saniye Yıldırım")</f>
        <v>Saniye Yıldırım</v>
      </c>
      <c r="B339" s="14" t="str">
        <f>IFERROR(__xludf.DUMMYFUNCTION("""COMPUTED_VALUE"""),"2024-AT-C311")</f>
        <v>2024-AT-C311</v>
      </c>
      <c r="C339" s="17">
        <f>IFERROR(__xludf.DUMMYFUNCTION("""COMPUTED_VALUE"""),45595.0)</f>
        <v>45595</v>
      </c>
      <c r="D339" s="14" t="str">
        <f>IFERROR(__xludf.DUMMYFUNCTION("""COMPUTED_VALUE"""),"H")</f>
        <v>H</v>
      </c>
      <c r="E339" s="14" t="str">
        <f>IFERROR(__xludf.DUMMYFUNCTION("""COMPUTED_VALUE"""),"Turkiye")</f>
        <v>Turkiye</v>
      </c>
      <c r="F339" s="16" t="str">
        <f>IFERROR(__xludf.DUMMYFUNCTION("""COMPUTED_VALUE"""),"Control Union Gözetim ve Belgelendirme Ltd. Şti.")</f>
        <v>Control Union Gözetim ve Belgelendirme Ltd. Şti.</v>
      </c>
    </row>
    <row r="340">
      <c r="A340" s="14" t="str">
        <f>IFERROR(__xludf.DUMMYFUNCTION("""COMPUTED_VALUE"""),"Armela Qafoku")</f>
        <v>Armela Qafoku</v>
      </c>
      <c r="B340" s="14" t="str">
        <f>IFERROR(__xludf.DUMMYFUNCTION("""COMPUTED_VALUE"""),"2024-AT-C312")</f>
        <v>2024-AT-C312</v>
      </c>
      <c r="C340" s="17">
        <f>IFERROR(__xludf.DUMMYFUNCTION("""COMPUTED_VALUE"""),45624.0)</f>
        <v>45624</v>
      </c>
      <c r="D340" s="14" t="str">
        <f>IFERROR(__xludf.DUMMYFUNCTION("""COMPUTED_VALUE"""),"TO")</f>
        <v>TO</v>
      </c>
      <c r="E340" s="14" t="str">
        <f>IFERROR(__xludf.DUMMYFUNCTION("""COMPUTED_VALUE"""),"Albania")</f>
        <v>Albania</v>
      </c>
      <c r="F340" s="16"/>
    </row>
    <row r="341">
      <c r="A341" s="14" t="str">
        <f>IFERROR(__xludf.DUMMYFUNCTION("""COMPUTED_VALUE"""),"Blerina Ago")</f>
        <v>Blerina Ago</v>
      </c>
      <c r="B341" s="14" t="str">
        <f>IFERROR(__xludf.DUMMYFUNCTION("""COMPUTED_VALUE"""),"2024-AT-C313")</f>
        <v>2024-AT-C313</v>
      </c>
      <c r="C341" s="17">
        <f>IFERROR(__xludf.DUMMYFUNCTION("""COMPUTED_VALUE"""),45624.0)</f>
        <v>45624</v>
      </c>
      <c r="D341" s="14" t="str">
        <f>IFERROR(__xludf.DUMMYFUNCTION("""COMPUTED_VALUE"""),"TO")</f>
        <v>TO</v>
      </c>
      <c r="E341" s="14" t="str">
        <f>IFERROR(__xludf.DUMMYFUNCTION("""COMPUTED_VALUE"""),"Albania")</f>
        <v>Albania</v>
      </c>
      <c r="F341" s="16" t="str">
        <f>IFERROR(__xludf.DUMMYFUNCTION("""COMPUTED_VALUE"""),"Active Albania")</f>
        <v>Active Albania</v>
      </c>
    </row>
    <row r="342">
      <c r="A342" s="14" t="str">
        <f>IFERROR(__xludf.DUMMYFUNCTION("""COMPUTED_VALUE"""),"María Ester Guðjónsdóttir")</f>
        <v>María Ester Guðjónsdóttir</v>
      </c>
      <c r="B342" s="14" t="str">
        <f>IFERROR(__xludf.DUMMYFUNCTION("""COMPUTED_VALUE"""),"2024-AT-C314")</f>
        <v>2024-AT-C314</v>
      </c>
      <c r="C342" s="17">
        <f>IFERROR(__xludf.DUMMYFUNCTION("""COMPUTED_VALUE"""),45624.0)</f>
        <v>45624</v>
      </c>
      <c r="D342" s="14" t="str">
        <f>IFERROR(__xludf.DUMMYFUNCTION("""COMPUTED_VALUE"""),"H")</f>
        <v>H</v>
      </c>
      <c r="E342" s="14" t="str">
        <f>IFERROR(__xludf.DUMMYFUNCTION("""COMPUTED_VALUE"""),"Iceland")</f>
        <v>Iceland</v>
      </c>
      <c r="F342" s="16" t="str">
        <f>IFERROR(__xludf.DUMMYFUNCTION("""COMPUTED_VALUE"""),"Iceland Travel / Travel Connect")</f>
        <v>Iceland Travel / Travel Connect</v>
      </c>
    </row>
    <row r="343">
      <c r="A343" s="14" t="str">
        <f>IFERROR(__xludf.DUMMYFUNCTION("""COMPUTED_VALUE"""),"Takeshi Kitamura")</f>
        <v>Takeshi Kitamura</v>
      </c>
      <c r="B343" s="14" t="str">
        <f>IFERROR(__xludf.DUMMYFUNCTION("""COMPUTED_VALUE"""),"2024-AT-C315")</f>
        <v>2024-AT-C315</v>
      </c>
      <c r="C343" s="17">
        <f>IFERROR(__xludf.DUMMYFUNCTION("""COMPUTED_VALUE"""),45624.0)</f>
        <v>45624</v>
      </c>
      <c r="D343" s="14" t="str">
        <f>IFERROR(__xludf.DUMMYFUNCTION("""COMPUTED_VALUE"""),"H")</f>
        <v>H</v>
      </c>
      <c r="E343" s="14" t="str">
        <f>IFERROR(__xludf.DUMMYFUNCTION("""COMPUTED_VALUE"""),"Japan")</f>
        <v>Japan</v>
      </c>
      <c r="F343" s="16" t="str">
        <f>IFERROR(__xludf.DUMMYFUNCTION("""COMPUTED_VALUE"""),"Sakura Quality Management Co.,ltd.")</f>
        <v>Sakura Quality Management Co.,ltd.</v>
      </c>
    </row>
    <row r="344">
      <c r="A344" s="14" t="str">
        <f>IFERROR(__xludf.DUMMYFUNCTION("""COMPUTED_VALUE"""),"Güleser Tazegül")</f>
        <v>Güleser Tazegül</v>
      </c>
      <c r="B344" s="14" t="str">
        <f>IFERROR(__xludf.DUMMYFUNCTION("""COMPUTED_VALUE"""),"2024-AT-C316")</f>
        <v>2024-AT-C316</v>
      </c>
      <c r="C344" s="17">
        <f>IFERROR(__xludf.DUMMYFUNCTION("""COMPUTED_VALUE"""),45624.0)</f>
        <v>45624</v>
      </c>
      <c r="D344" s="14" t="str">
        <f>IFERROR(__xludf.DUMMYFUNCTION("""COMPUTED_VALUE"""),"H")</f>
        <v>H</v>
      </c>
      <c r="E344" s="14" t="str">
        <f>IFERROR(__xludf.DUMMYFUNCTION("""COMPUTED_VALUE"""),"Turkiye")</f>
        <v>Turkiye</v>
      </c>
      <c r="F344" s="16" t="str">
        <f>IFERROR(__xludf.DUMMYFUNCTION("""COMPUTED_VALUE"""),"RoyalCert")</f>
        <v>RoyalCert</v>
      </c>
    </row>
    <row r="345">
      <c r="A345" s="14" t="str">
        <f>IFERROR(__xludf.DUMMYFUNCTION("""COMPUTED_VALUE"""),"Derya Yıldız")</f>
        <v>Derya Yıldız</v>
      </c>
      <c r="B345" s="14" t="str">
        <f>IFERROR(__xludf.DUMMYFUNCTION("""COMPUTED_VALUE"""),"2024-AT-C317")</f>
        <v>2024-AT-C317</v>
      </c>
      <c r="C345" s="17">
        <f>IFERROR(__xludf.DUMMYFUNCTION("""COMPUTED_VALUE"""),45624.0)</f>
        <v>45624</v>
      </c>
      <c r="D345" s="14" t="str">
        <f>IFERROR(__xludf.DUMMYFUNCTION("""COMPUTED_VALUE"""),"TO")</f>
        <v>TO</v>
      </c>
      <c r="E345" s="14" t="str">
        <f>IFERROR(__xludf.DUMMYFUNCTION("""COMPUTED_VALUE"""),"Turkiye")</f>
        <v>Turkiye</v>
      </c>
      <c r="F345" s="16" t="str">
        <f>IFERROR(__xludf.DUMMYFUNCTION("""COMPUTED_VALUE"""),"Royal Cert")</f>
        <v>Royal Cert</v>
      </c>
    </row>
    <row r="346">
      <c r="A346" s="14" t="str">
        <f>IFERROR(__xludf.DUMMYFUNCTION("""COMPUTED_VALUE"""),"Madlina Özgür Puka")</f>
        <v>Madlina Özgür Puka</v>
      </c>
      <c r="B346" s="14" t="str">
        <f>IFERROR(__xludf.DUMMYFUNCTION("""COMPUTED_VALUE"""),"2024-AT-C318")</f>
        <v>2024-AT-C318</v>
      </c>
      <c r="C346" s="17">
        <f>IFERROR(__xludf.DUMMYFUNCTION("""COMPUTED_VALUE"""),45624.0)</f>
        <v>45624</v>
      </c>
      <c r="D346" s="14" t="str">
        <f>IFERROR(__xludf.DUMMYFUNCTION("""COMPUTED_VALUE"""),"H")</f>
        <v>H</v>
      </c>
      <c r="E346" s="14" t="str">
        <f>IFERROR(__xludf.DUMMYFUNCTION("""COMPUTED_VALUE"""),"Albania")</f>
        <v>Albania</v>
      </c>
      <c r="F346" s="16" t="str">
        <f>IFERROR(__xludf.DUMMYFUNCTION("""COMPUTED_VALUE"""),"Free lancer")</f>
        <v>Free lancer</v>
      </c>
    </row>
    <row r="347">
      <c r="A347" s="14" t="str">
        <f>IFERROR(__xludf.DUMMYFUNCTION("""COMPUTED_VALUE"""),"Eva Kushova")</f>
        <v>Eva Kushova</v>
      </c>
      <c r="B347" s="14" t="str">
        <f>IFERROR(__xludf.DUMMYFUNCTION("""COMPUTED_VALUE"""),"2024-AT-C319")</f>
        <v>2024-AT-C319</v>
      </c>
      <c r="C347" s="17">
        <f>IFERROR(__xludf.DUMMYFUNCTION("""COMPUTED_VALUE"""),45624.0)</f>
        <v>45624</v>
      </c>
      <c r="D347" s="14" t="str">
        <f>IFERROR(__xludf.DUMMYFUNCTION("""COMPUTED_VALUE"""),"TO")</f>
        <v>TO</v>
      </c>
      <c r="E347" s="14" t="str">
        <f>IFERROR(__xludf.DUMMYFUNCTION("""COMPUTED_VALUE"""),"Albania")</f>
        <v>Albania</v>
      </c>
      <c r="F347" s="16" t="str">
        <f>IFERROR(__xludf.DUMMYFUNCTION("""COMPUTED_VALUE"""),"DMO Albania")</f>
        <v>DMO Albania</v>
      </c>
    </row>
    <row r="348">
      <c r="A348" s="14" t="str">
        <f>IFERROR(__xludf.DUMMYFUNCTION("""COMPUTED_VALUE"""),"Cecilia Torlai")</f>
        <v>Cecilia Torlai</v>
      </c>
      <c r="B348" s="14" t="str">
        <f>IFERROR(__xludf.DUMMYFUNCTION("""COMPUTED_VALUE"""),"2024-AT-C320")</f>
        <v>2024-AT-C320</v>
      </c>
      <c r="C348" s="17">
        <f>IFERROR(__xludf.DUMMYFUNCTION("""COMPUTED_VALUE"""),45624.0)</f>
        <v>45624</v>
      </c>
      <c r="D348" s="14" t="str">
        <f>IFERROR(__xludf.DUMMYFUNCTION("""COMPUTED_VALUE"""),"TO")</f>
        <v>TO</v>
      </c>
      <c r="E348" s="14" t="str">
        <f>IFERROR(__xludf.DUMMYFUNCTION("""COMPUTED_VALUE"""),"Italy")</f>
        <v>Italy</v>
      </c>
      <c r="F348" s="16" t="str">
        <f>IFERROR(__xludf.DUMMYFUNCTION("""COMPUTED_VALUE"""),"Freelancer")</f>
        <v>Freelancer</v>
      </c>
    </row>
    <row r="349">
      <c r="A349" s="14" t="str">
        <f>IFERROR(__xludf.DUMMYFUNCTION("""COMPUTED_VALUE"""),"Suela Tahiraj")</f>
        <v>Suela Tahiraj</v>
      </c>
      <c r="B349" s="14" t="str">
        <f>IFERROR(__xludf.DUMMYFUNCTION("""COMPUTED_VALUE"""),"2024-AT-C321")</f>
        <v>2024-AT-C321</v>
      </c>
      <c r="C349" s="17">
        <f>IFERROR(__xludf.DUMMYFUNCTION("""COMPUTED_VALUE"""),45624.0)</f>
        <v>45624</v>
      </c>
      <c r="D349" s="14" t="str">
        <f>IFERROR(__xludf.DUMMYFUNCTION("""COMPUTED_VALUE"""),"TO")</f>
        <v>TO</v>
      </c>
      <c r="E349" s="14" t="str">
        <f>IFERROR(__xludf.DUMMYFUNCTION("""COMPUTED_VALUE"""),"Albania")</f>
        <v>Albania</v>
      </c>
      <c r="F349" s="16"/>
    </row>
    <row r="350">
      <c r="A350" s="14" t="str">
        <f>IFERROR(__xludf.DUMMYFUNCTION("""COMPUTED_VALUE"""),"hamit gökay meriç")</f>
        <v>hamit gökay meriç</v>
      </c>
      <c r="B350" s="14" t="str">
        <f>IFERROR(__xludf.DUMMYFUNCTION("""COMPUTED_VALUE"""),"2024-AT-C322")</f>
        <v>2024-AT-C322</v>
      </c>
      <c r="C350" s="17">
        <f>IFERROR(__xludf.DUMMYFUNCTION("""COMPUTED_VALUE"""),45624.0)</f>
        <v>45624</v>
      </c>
      <c r="D350" s="14" t="str">
        <f>IFERROR(__xludf.DUMMYFUNCTION("""COMPUTED_VALUE"""),"H")</f>
        <v>H</v>
      </c>
      <c r="E350" s="14" t="str">
        <f>IFERROR(__xludf.DUMMYFUNCTION("""COMPUTED_VALUE"""),"Turkiye")</f>
        <v>Turkiye</v>
      </c>
      <c r="F350" s="16" t="str">
        <f>IFERROR(__xludf.DUMMYFUNCTION("""COMPUTED_VALUE"""),"Globalis Sertifikasyon Hizmetleri ve Yatırım Sanayi Ticaret AŞ.")</f>
        <v>Globalis Sertifikasyon Hizmetleri ve Yatırım Sanayi Ticaret AŞ.</v>
      </c>
    </row>
    <row r="351">
      <c r="A351" s="14" t="str">
        <f>IFERROR(__xludf.DUMMYFUNCTION("""COMPUTED_VALUE"""),"tuğçe ertan meriç")</f>
        <v>tuğçe ertan meriç</v>
      </c>
      <c r="B351" s="14" t="str">
        <f>IFERROR(__xludf.DUMMYFUNCTION("""COMPUTED_VALUE"""),"2024-AT-C323")</f>
        <v>2024-AT-C323</v>
      </c>
      <c r="C351" s="17">
        <f>IFERROR(__xludf.DUMMYFUNCTION("""COMPUTED_VALUE"""),45624.0)</f>
        <v>45624</v>
      </c>
      <c r="D351" s="14" t="str">
        <f>IFERROR(__xludf.DUMMYFUNCTION("""COMPUTED_VALUE"""),"H")</f>
        <v>H</v>
      </c>
      <c r="E351" s="14" t="str">
        <f>IFERROR(__xludf.DUMMYFUNCTION("""COMPUTED_VALUE"""),"Turkiye")</f>
        <v>Turkiye</v>
      </c>
      <c r="F351" s="16" t="str">
        <f>IFERROR(__xludf.DUMMYFUNCTION("""COMPUTED_VALUE"""),"Globalis Sertifikasyon Hizmetleri ve Yatırım Sanayi Ticaret AŞ.")</f>
        <v>Globalis Sertifikasyon Hizmetleri ve Yatırım Sanayi Ticaret AŞ.</v>
      </c>
    </row>
    <row r="352">
      <c r="A352" s="14" t="str">
        <f>IFERROR(__xludf.DUMMYFUNCTION("""COMPUTED_VALUE"""),"Zifang Zhong")</f>
        <v>Zifang Zhong</v>
      </c>
      <c r="B352" s="14" t="str">
        <f>IFERROR(__xludf.DUMMYFUNCTION("""COMPUTED_VALUE"""),"2024-AT-C324")</f>
        <v>2024-AT-C324</v>
      </c>
      <c r="C352" s="17">
        <f>IFERROR(__xludf.DUMMYFUNCTION("""COMPUTED_VALUE"""),45650.0)</f>
        <v>45650</v>
      </c>
      <c r="D352" s="14" t="str">
        <f>IFERROR(__xludf.DUMMYFUNCTION("""COMPUTED_VALUE"""),"TO")</f>
        <v>TO</v>
      </c>
      <c r="E352" s="14" t="str">
        <f>IFERROR(__xludf.DUMMYFUNCTION("""COMPUTED_VALUE"""),"Japan")</f>
        <v>Japan</v>
      </c>
      <c r="F352" s="16" t="str">
        <f>IFERROR(__xludf.DUMMYFUNCTION("""COMPUTED_VALUE"""),"Control Union Japan")</f>
        <v>Control Union Japan</v>
      </c>
    </row>
    <row r="353">
      <c r="A353" s="14" t="str">
        <f>IFERROR(__xludf.DUMMYFUNCTION("""COMPUTED_VALUE"""),"Gülhan Dağtekin")</f>
        <v>Gülhan Dağtekin</v>
      </c>
      <c r="B353" s="14" t="str">
        <f>IFERROR(__xludf.DUMMYFUNCTION("""COMPUTED_VALUE"""),"2024-AT-C325")</f>
        <v>2024-AT-C325</v>
      </c>
      <c r="C353" s="17">
        <f>IFERROR(__xludf.DUMMYFUNCTION("""COMPUTED_VALUE"""),45650.0)</f>
        <v>45650</v>
      </c>
      <c r="D353" s="14" t="str">
        <f>IFERROR(__xludf.DUMMYFUNCTION("""COMPUTED_VALUE"""),"H")</f>
        <v>H</v>
      </c>
      <c r="E353" s="14" t="str">
        <f>IFERROR(__xludf.DUMMYFUNCTION("""COMPUTED_VALUE"""),"Turkiye")</f>
        <v>Turkiye</v>
      </c>
      <c r="F353" s="16" t="str">
        <f>IFERROR(__xludf.DUMMYFUNCTION("""COMPUTED_VALUE"""),"Control Union Turkiye")</f>
        <v>Control Union Turkiye</v>
      </c>
    </row>
    <row r="354">
      <c r="A354" s="14" t="str">
        <f>IFERROR(__xludf.DUMMYFUNCTION("""COMPUTED_VALUE"""),"Li SHUAI")</f>
        <v>Li SHUAI</v>
      </c>
      <c r="B354" s="14" t="str">
        <f>IFERROR(__xludf.DUMMYFUNCTION("""COMPUTED_VALUE"""),"2024-AT-C326")</f>
        <v>2024-AT-C326</v>
      </c>
      <c r="C354" s="17">
        <f>IFERROR(__xludf.DUMMYFUNCTION("""COMPUTED_VALUE"""),45650.0)</f>
        <v>45650</v>
      </c>
      <c r="D354" s="14" t="str">
        <f>IFERROR(__xludf.DUMMYFUNCTION("""COMPUTED_VALUE"""),"H")</f>
        <v>H</v>
      </c>
      <c r="E354" s="14" t="str">
        <f>IFERROR(__xludf.DUMMYFUNCTION("""COMPUTED_VALUE"""),"China")</f>
        <v>China</v>
      </c>
      <c r="F354" s="16" t="str">
        <f>IFERROR(__xludf.DUMMYFUNCTION("""COMPUTED_VALUE"""),"TÜV Rheinland (Guangdong) Ltd.,")</f>
        <v>TÜV Rheinland (Guangdong) Ltd.,</v>
      </c>
    </row>
    <row r="355">
      <c r="A355" s="14" t="str">
        <f>IFERROR(__xludf.DUMMYFUNCTION("""COMPUTED_VALUE"""),"ELİF YALÇIN")</f>
        <v>ELİF YALÇIN</v>
      </c>
      <c r="B355" s="14" t="str">
        <f>IFERROR(__xludf.DUMMYFUNCTION("""COMPUTED_VALUE"""),"2024-AT-C327")</f>
        <v>2024-AT-C327</v>
      </c>
      <c r="C355" s="17">
        <f>IFERROR(__xludf.DUMMYFUNCTION("""COMPUTED_VALUE"""),45650.0)</f>
        <v>45650</v>
      </c>
      <c r="D355" s="14" t="str">
        <f>IFERROR(__xludf.DUMMYFUNCTION("""COMPUTED_VALUE"""),"H")</f>
        <v>H</v>
      </c>
      <c r="E355" s="14" t="str">
        <f>IFERROR(__xludf.DUMMYFUNCTION("""COMPUTED_VALUE"""),"Turkiye")</f>
        <v>Turkiye</v>
      </c>
      <c r="F355" s="16" t="str">
        <f>IFERROR(__xludf.DUMMYFUNCTION("""COMPUTED_VALUE"""),"GCL Uluslararası Belgelendirme Hiz. Ltd. Şti")</f>
        <v>GCL Uluslararası Belgelendirme Hiz. Ltd. Şti</v>
      </c>
    </row>
    <row r="356">
      <c r="A356" s="14" t="str">
        <f>IFERROR(__xludf.DUMMYFUNCTION("""COMPUTED_VALUE"""),"Hayrettin YILMAZ")</f>
        <v>Hayrettin YILMAZ</v>
      </c>
      <c r="B356" s="14" t="str">
        <f>IFERROR(__xludf.DUMMYFUNCTION("""COMPUTED_VALUE"""),"2024-AT-C328")</f>
        <v>2024-AT-C328</v>
      </c>
      <c r="C356" s="17">
        <f>IFERROR(__xludf.DUMMYFUNCTION("""COMPUTED_VALUE"""),45650.0)</f>
        <v>45650</v>
      </c>
      <c r="D356" s="14" t="str">
        <f>IFERROR(__xludf.DUMMYFUNCTION("""COMPUTED_VALUE"""),"H")</f>
        <v>H</v>
      </c>
      <c r="E356" s="14" t="str">
        <f>IFERROR(__xludf.DUMMYFUNCTION("""COMPUTED_VALUE"""),"Turkiye")</f>
        <v>Turkiye</v>
      </c>
      <c r="F356" s="16" t="str">
        <f>IFERROR(__xludf.DUMMYFUNCTION("""COMPUTED_VALUE"""),"Alberk QA Technic")</f>
        <v>Alberk QA Technic</v>
      </c>
    </row>
    <row r="357">
      <c r="A357" s="14" t="str">
        <f>IFERROR(__xludf.DUMMYFUNCTION("""COMPUTED_VALUE"""),"Aik Loong Lim")</f>
        <v>Aik Loong Lim</v>
      </c>
      <c r="B357" s="14" t="str">
        <f>IFERROR(__xludf.DUMMYFUNCTION("""COMPUTED_VALUE"""),"2024-AT-C329")</f>
        <v>2024-AT-C329</v>
      </c>
      <c r="C357" s="17">
        <f>IFERROR(__xludf.DUMMYFUNCTION("""COMPUTED_VALUE"""),45650.0)</f>
        <v>45650</v>
      </c>
      <c r="D357" s="14" t="str">
        <f>IFERROR(__xludf.DUMMYFUNCTION("""COMPUTED_VALUE"""),"H")</f>
        <v>H</v>
      </c>
      <c r="E357" s="14" t="str">
        <f>IFERROR(__xludf.DUMMYFUNCTION("""COMPUTED_VALUE"""),"Malaysia")</f>
        <v>Malaysia</v>
      </c>
      <c r="F357" s="16" t="str">
        <f>IFERROR(__xludf.DUMMYFUNCTION("""COMPUTED_VALUE"""),"Vireo Sustainable Certification Sdn. Bhd.")</f>
        <v>Vireo Sustainable Certification Sdn. Bhd.</v>
      </c>
    </row>
    <row r="358">
      <c r="A358" s="14" t="str">
        <f>IFERROR(__xludf.DUMMYFUNCTION("""COMPUTED_VALUE"""),"Caner Sayın")</f>
        <v>Caner Sayın</v>
      </c>
      <c r="B358" s="14" t="str">
        <f>IFERROR(__xludf.DUMMYFUNCTION("""COMPUTED_VALUE"""),"2024-AT-C330")</f>
        <v>2024-AT-C330</v>
      </c>
      <c r="C358" s="17">
        <f>IFERROR(__xludf.DUMMYFUNCTION("""COMPUTED_VALUE"""),45650.0)</f>
        <v>45650</v>
      </c>
      <c r="D358" s="14" t="str">
        <f>IFERROR(__xludf.DUMMYFUNCTION("""COMPUTED_VALUE"""),"H")</f>
        <v>H</v>
      </c>
      <c r="E358" s="14" t="str">
        <f>IFERROR(__xludf.DUMMYFUNCTION("""COMPUTED_VALUE"""),"Turkiye")</f>
        <v>Turkiye</v>
      </c>
      <c r="F358" s="16" t="str">
        <f>IFERROR(__xludf.DUMMYFUNCTION("""COMPUTED_VALUE"""),"RoyalCert")</f>
        <v>RoyalCert</v>
      </c>
    </row>
    <row r="359">
      <c r="A359" s="14" t="str">
        <f>IFERROR(__xludf.DUMMYFUNCTION("""COMPUTED_VALUE"""),"Francesca Demattè")</f>
        <v>Francesca Demattè</v>
      </c>
      <c r="B359" s="14" t="str">
        <f>IFERROR(__xludf.DUMMYFUNCTION("""COMPUTED_VALUE"""),"2024-AT-C331")</f>
        <v>2024-AT-C331</v>
      </c>
      <c r="C359" s="17">
        <f>IFERROR(__xludf.DUMMYFUNCTION("""COMPUTED_VALUE"""),45650.0)</f>
        <v>45650</v>
      </c>
      <c r="D359" s="14" t="str">
        <f>IFERROR(__xludf.DUMMYFUNCTION("""COMPUTED_VALUE"""),"H")</f>
        <v>H</v>
      </c>
      <c r="E359" s="14" t="str">
        <f>IFERROR(__xludf.DUMMYFUNCTION("""COMPUTED_VALUE"""),"Italy")</f>
        <v>Italy</v>
      </c>
      <c r="F359" s="16"/>
    </row>
    <row r="360">
      <c r="A360" s="14" t="str">
        <f>IFERROR(__xludf.DUMMYFUNCTION("""COMPUTED_VALUE"""),"Federica Bosco")</f>
        <v>Federica Bosco</v>
      </c>
      <c r="B360" s="14" t="str">
        <f>IFERROR(__xludf.DUMMYFUNCTION("""COMPUTED_VALUE"""),"2024-AT-C332")</f>
        <v>2024-AT-C332</v>
      </c>
      <c r="C360" s="17">
        <f>IFERROR(__xludf.DUMMYFUNCTION("""COMPUTED_VALUE"""),45650.0)</f>
        <v>45650</v>
      </c>
      <c r="D360" s="14" t="str">
        <f>IFERROR(__xludf.DUMMYFUNCTION("""COMPUTED_VALUE"""),"H")</f>
        <v>H</v>
      </c>
      <c r="E360" s="14" t="str">
        <f>IFERROR(__xludf.DUMMYFUNCTION("""COMPUTED_VALUE"""),"Italy")</f>
        <v>Italy</v>
      </c>
      <c r="F360" s="16" t="str">
        <f>IFERROR(__xludf.DUMMYFUNCTION("""COMPUTED_VALUE"""),"ETIFOR | Valuing Nature")</f>
        <v>ETIFOR | Valuing Nature</v>
      </c>
    </row>
    <row r="361">
      <c r="A361" s="14" t="str">
        <f>IFERROR(__xludf.DUMMYFUNCTION("""COMPUTED_VALUE"""),"Jelena Kucan")</f>
        <v>Jelena Kucan</v>
      </c>
      <c r="B361" s="14" t="str">
        <f>IFERROR(__xludf.DUMMYFUNCTION("""COMPUTED_VALUE"""),"2024-AT-C333")</f>
        <v>2024-AT-C333</v>
      </c>
      <c r="C361" s="17">
        <f>IFERROR(__xludf.DUMMYFUNCTION("""COMPUTED_VALUE"""),45650.0)</f>
        <v>45650</v>
      </c>
      <c r="D361" s="14" t="str">
        <f>IFERROR(__xludf.DUMMYFUNCTION("""COMPUTED_VALUE"""),"H")</f>
        <v>H</v>
      </c>
      <c r="E361" s="14" t="str">
        <f>IFERROR(__xludf.DUMMYFUNCTION("""COMPUTED_VALUE"""),"Croatia")</f>
        <v>Croatia</v>
      </c>
      <c r="F361" s="16" t="str">
        <f>IFERROR(__xludf.DUMMYFUNCTION("""COMPUTED_VALUE"""),"MARA d.o.o.")</f>
        <v>MARA d.o.o.</v>
      </c>
    </row>
    <row r="362">
      <c r="A362" s="14" t="str">
        <f>IFERROR(__xludf.DUMMYFUNCTION("""COMPUTED_VALUE"""),"Lamia Çiçek")</f>
        <v>Lamia Çiçek</v>
      </c>
      <c r="B362" s="14" t="str">
        <f>IFERROR(__xludf.DUMMYFUNCTION("""COMPUTED_VALUE"""),"2024-AT-C334")</f>
        <v>2024-AT-C334</v>
      </c>
      <c r="C362" s="17">
        <f>IFERROR(__xludf.DUMMYFUNCTION("""COMPUTED_VALUE"""),45650.0)</f>
        <v>45650</v>
      </c>
      <c r="D362" s="14" t="str">
        <f>IFERROR(__xludf.DUMMYFUNCTION("""COMPUTED_VALUE"""),"H")</f>
        <v>H</v>
      </c>
      <c r="E362" s="14" t="str">
        <f>IFERROR(__xludf.DUMMYFUNCTION("""COMPUTED_VALUE"""),"Turkiye")</f>
        <v>Turkiye</v>
      </c>
      <c r="F362" s="16" t="str">
        <f>IFERROR(__xludf.DUMMYFUNCTION("""COMPUTED_VALUE"""),"Alberk QA Technic")</f>
        <v>Alberk QA Technic</v>
      </c>
    </row>
    <row r="363">
      <c r="A363" s="14" t="str">
        <f>IFERROR(__xludf.DUMMYFUNCTION("""COMPUTED_VALUE"""),"HONG WEI WANG")</f>
        <v>HONG WEI WANG</v>
      </c>
      <c r="B363" s="14" t="str">
        <f>IFERROR(__xludf.DUMMYFUNCTION("""COMPUTED_VALUE"""),"2025-AT-C335")</f>
        <v>2025-AT-C335</v>
      </c>
      <c r="C363" s="17">
        <f>IFERROR(__xludf.DUMMYFUNCTION("""COMPUTED_VALUE"""),45680.0)</f>
        <v>45680</v>
      </c>
      <c r="D363" s="14" t="str">
        <f>IFERROR(__xludf.DUMMYFUNCTION("""COMPUTED_VALUE"""),"TO")</f>
        <v>TO</v>
      </c>
      <c r="E363" s="14" t="str">
        <f>IFERROR(__xludf.DUMMYFUNCTION("""COMPUTED_VALUE"""),"Taiwan")</f>
        <v>Taiwan</v>
      </c>
      <c r="F363" s="16" t="str">
        <f>IFERROR(__xludf.DUMMYFUNCTION("""COMPUTED_VALUE"""),"Bureau Veritas Certification (Taiwan) Co., Ltd.")</f>
        <v>Bureau Veritas Certification (Taiwan) Co., Ltd.</v>
      </c>
    </row>
    <row r="364">
      <c r="A364" s="14" t="str">
        <f>IFERROR(__xludf.DUMMYFUNCTION("""COMPUTED_VALUE"""),"HONG WEI WANG")</f>
        <v>HONG WEI WANG</v>
      </c>
      <c r="B364" s="14" t="str">
        <f>IFERROR(__xludf.DUMMYFUNCTION("""COMPUTED_VALUE"""),"2025-AT-C336")</f>
        <v>2025-AT-C336</v>
      </c>
      <c r="C364" s="17">
        <f>IFERROR(__xludf.DUMMYFUNCTION("""COMPUTED_VALUE"""),45680.0)</f>
        <v>45680</v>
      </c>
      <c r="D364" s="14" t="str">
        <f>IFERROR(__xludf.DUMMYFUNCTION("""COMPUTED_VALUE"""),"H")</f>
        <v>H</v>
      </c>
      <c r="E364" s="14" t="str">
        <f>IFERROR(__xludf.DUMMYFUNCTION("""COMPUTED_VALUE"""),"Taiwan")</f>
        <v>Taiwan</v>
      </c>
      <c r="F364" s="16" t="str">
        <f>IFERROR(__xludf.DUMMYFUNCTION("""COMPUTED_VALUE"""),"Bureau Veritas Certification (Taiwan) Co., Ltd.")</f>
        <v>Bureau Veritas Certification (Taiwan) Co., Ltd.</v>
      </c>
    </row>
    <row r="365">
      <c r="A365" s="14" t="str">
        <f>IFERROR(__xludf.DUMMYFUNCTION("""COMPUTED_VALUE"""),"Fumiko Ito")</f>
        <v>Fumiko Ito</v>
      </c>
      <c r="B365" s="14" t="str">
        <f>IFERROR(__xludf.DUMMYFUNCTION("""COMPUTED_VALUE"""),"2025-AT-C337")</f>
        <v>2025-AT-C337</v>
      </c>
      <c r="C365" s="17">
        <f>IFERROR(__xludf.DUMMYFUNCTION("""COMPUTED_VALUE"""),45680.0)</f>
        <v>45680</v>
      </c>
      <c r="D365" s="14" t="str">
        <f>IFERROR(__xludf.DUMMYFUNCTION("""COMPUTED_VALUE"""),"H")</f>
        <v>H</v>
      </c>
      <c r="E365" s="14" t="str">
        <f>IFERROR(__xludf.DUMMYFUNCTION("""COMPUTED_VALUE"""),"Japan")</f>
        <v>Japan</v>
      </c>
      <c r="F365" s="16" t="str">
        <f>IFERROR(__xludf.DUMMYFUNCTION("""COMPUTED_VALUE"""),"Japan Airlines Co.,Ltd.")</f>
        <v>Japan Airlines Co.,Ltd.</v>
      </c>
    </row>
    <row r="366">
      <c r="A366" s="14" t="str">
        <f>IFERROR(__xludf.DUMMYFUNCTION("""COMPUTED_VALUE"""),"Ecem Eren")</f>
        <v>Ecem Eren</v>
      </c>
      <c r="B366" s="14" t="str">
        <f>IFERROR(__xludf.DUMMYFUNCTION("""COMPUTED_VALUE"""),"2025-AT-C338")</f>
        <v>2025-AT-C338</v>
      </c>
      <c r="C366" s="17">
        <f>IFERROR(__xludf.DUMMYFUNCTION("""COMPUTED_VALUE"""),45680.0)</f>
        <v>45680</v>
      </c>
      <c r="D366" s="14" t="str">
        <f>IFERROR(__xludf.DUMMYFUNCTION("""COMPUTED_VALUE"""),"TO")</f>
        <v>TO</v>
      </c>
      <c r="E366" s="14" t="str">
        <f>IFERROR(__xludf.DUMMYFUNCTION("""COMPUTED_VALUE"""),"Turkiye")</f>
        <v>Turkiye</v>
      </c>
      <c r="F366" s="16" t="str">
        <f>IFERROR(__xludf.DUMMYFUNCTION("""COMPUTED_VALUE"""),"Royal Cert")</f>
        <v>Royal Cert</v>
      </c>
    </row>
    <row r="367">
      <c r="A367" s="14" t="str">
        <f>IFERROR(__xludf.DUMMYFUNCTION("""COMPUTED_VALUE"""),"Ken Lin")</f>
        <v>Ken Lin</v>
      </c>
      <c r="B367" s="14" t="str">
        <f>IFERROR(__xludf.DUMMYFUNCTION("""COMPUTED_VALUE"""),"2025-AT-C339")</f>
        <v>2025-AT-C339</v>
      </c>
      <c r="C367" s="17">
        <f>IFERROR(__xludf.DUMMYFUNCTION("""COMPUTED_VALUE"""),45680.0)</f>
        <v>45680</v>
      </c>
      <c r="D367" s="14" t="str">
        <f>IFERROR(__xludf.DUMMYFUNCTION("""COMPUTED_VALUE"""),"H")</f>
        <v>H</v>
      </c>
      <c r="E367" s="14" t="str">
        <f>IFERROR(__xludf.DUMMYFUNCTION("""COMPUTED_VALUE"""),"Taiwan")</f>
        <v>Taiwan</v>
      </c>
      <c r="F367" s="16" t="str">
        <f>IFERROR(__xludf.DUMMYFUNCTION("""COMPUTED_VALUE"""),"SGS Taiwan")</f>
        <v>SGS Taiwan</v>
      </c>
    </row>
    <row r="368">
      <c r="A368" s="14" t="str">
        <f>IFERROR(__xludf.DUMMYFUNCTION("""COMPUTED_VALUE"""),"Ken Lin")</f>
        <v>Ken Lin</v>
      </c>
      <c r="B368" s="14" t="str">
        <f>IFERROR(__xludf.DUMMYFUNCTION("""COMPUTED_VALUE"""),"2025-AT-C340")</f>
        <v>2025-AT-C340</v>
      </c>
      <c r="C368" s="17">
        <f>IFERROR(__xludf.DUMMYFUNCTION("""COMPUTED_VALUE"""),45680.0)</f>
        <v>45680</v>
      </c>
      <c r="D368" s="14" t="str">
        <f>IFERROR(__xludf.DUMMYFUNCTION("""COMPUTED_VALUE"""),"TO")</f>
        <v>TO</v>
      </c>
      <c r="E368" s="14" t="str">
        <f>IFERROR(__xludf.DUMMYFUNCTION("""COMPUTED_VALUE"""),"Taiwan")</f>
        <v>Taiwan</v>
      </c>
      <c r="F368" s="16" t="str">
        <f>IFERROR(__xludf.DUMMYFUNCTION("""COMPUTED_VALUE"""),"SGS Taiwan")</f>
        <v>SGS Taiwan</v>
      </c>
    </row>
    <row r="369">
      <c r="A369" s="14" t="str">
        <f>IFERROR(__xludf.DUMMYFUNCTION("""COMPUTED_VALUE"""),"Claudine Nagiah")</f>
        <v>Claudine Nagiah</v>
      </c>
      <c r="B369" s="14" t="str">
        <f>IFERROR(__xludf.DUMMYFUNCTION("""COMPUTED_VALUE"""),"2025-AT-C341")</f>
        <v>2025-AT-C341</v>
      </c>
      <c r="C369" s="17">
        <f>IFERROR(__xludf.DUMMYFUNCTION("""COMPUTED_VALUE"""),45680.0)</f>
        <v>45680</v>
      </c>
      <c r="D369" s="14" t="str">
        <f>IFERROR(__xludf.DUMMYFUNCTION("""COMPUTED_VALUE"""),"H")</f>
        <v>H</v>
      </c>
      <c r="E369" s="14" t="str">
        <f>IFERROR(__xludf.DUMMYFUNCTION("""COMPUTED_VALUE"""),"Thailand")</f>
        <v>Thailand</v>
      </c>
      <c r="F369" s="16" t="str">
        <f>IFERROR(__xludf.DUMMYFUNCTION("""COMPUTED_VALUE"""),"UCSL")</f>
        <v>UCSL</v>
      </c>
    </row>
    <row r="370">
      <c r="A370" s="14" t="str">
        <f>IFERROR(__xludf.DUMMYFUNCTION("""COMPUTED_VALUE"""),"Claudine Nagiah")</f>
        <v>Claudine Nagiah</v>
      </c>
      <c r="B370" s="14" t="str">
        <f>IFERROR(__xludf.DUMMYFUNCTION("""COMPUTED_VALUE"""),"2025-AT-C342")</f>
        <v>2025-AT-C342</v>
      </c>
      <c r="C370" s="17">
        <f>IFERROR(__xludf.DUMMYFUNCTION("""COMPUTED_VALUE"""),45680.0)</f>
        <v>45680</v>
      </c>
      <c r="D370" s="14" t="str">
        <f>IFERROR(__xludf.DUMMYFUNCTION("""COMPUTED_VALUE"""),"TO")</f>
        <v>TO</v>
      </c>
      <c r="E370" s="14" t="str">
        <f>IFERROR(__xludf.DUMMYFUNCTION("""COMPUTED_VALUE"""),"Thailand")</f>
        <v>Thailand</v>
      </c>
      <c r="F370" s="16" t="str">
        <f>IFERROR(__xludf.DUMMYFUNCTION("""COMPUTED_VALUE"""),"UCSL")</f>
        <v>UCSL</v>
      </c>
    </row>
    <row r="371">
      <c r="A371" s="14" t="str">
        <f>IFERROR(__xludf.DUMMYFUNCTION("""COMPUTED_VALUE"""),"Chung Joyce")</f>
        <v>Chung Joyce</v>
      </c>
      <c r="B371" s="14" t="str">
        <f>IFERROR(__xludf.DUMMYFUNCTION("""COMPUTED_VALUE"""),"2025-AT-C343")</f>
        <v>2025-AT-C343</v>
      </c>
      <c r="C371" s="17">
        <f>IFERROR(__xludf.DUMMYFUNCTION("""COMPUTED_VALUE"""),45680.0)</f>
        <v>45680</v>
      </c>
      <c r="D371" s="14" t="str">
        <f>IFERROR(__xludf.DUMMYFUNCTION("""COMPUTED_VALUE"""),"TO")</f>
        <v>TO</v>
      </c>
      <c r="E371" s="14" t="str">
        <f>IFERROR(__xludf.DUMMYFUNCTION("""COMPUTED_VALUE"""),"Singapore")</f>
        <v>Singapore</v>
      </c>
      <c r="F371" s="16" t="str">
        <f>IFERROR(__xludf.DUMMYFUNCTION("""COMPUTED_VALUE"""),"Control Union")</f>
        <v>Control Union</v>
      </c>
    </row>
    <row r="372">
      <c r="A372" s="14" t="str">
        <f>IFERROR(__xludf.DUMMYFUNCTION("""COMPUTED_VALUE"""),"Bruce Hu")</f>
        <v>Bruce Hu</v>
      </c>
      <c r="B372" s="14" t="str">
        <f>IFERROR(__xludf.DUMMYFUNCTION("""COMPUTED_VALUE"""),"2025-AT-C344")</f>
        <v>2025-AT-C344</v>
      </c>
      <c r="C372" s="17">
        <f>IFERROR(__xludf.DUMMYFUNCTION("""COMPUTED_VALUE"""),45680.0)</f>
        <v>45680</v>
      </c>
      <c r="D372" s="14" t="str">
        <f>IFERROR(__xludf.DUMMYFUNCTION("""COMPUTED_VALUE"""),"H")</f>
        <v>H</v>
      </c>
      <c r="E372" s="14" t="str">
        <f>IFERROR(__xludf.DUMMYFUNCTION("""COMPUTED_VALUE"""),"China")</f>
        <v>China</v>
      </c>
      <c r="F372" s="16" t="str">
        <f>IFERROR(__xludf.DUMMYFUNCTION("""COMPUTED_VALUE"""),"Bureau Veritas")</f>
        <v>Bureau Veritas</v>
      </c>
    </row>
    <row r="373">
      <c r="A373" s="14" t="str">
        <f>IFERROR(__xludf.DUMMYFUNCTION("""COMPUTED_VALUE"""),"Bruce Hu")</f>
        <v>Bruce Hu</v>
      </c>
      <c r="B373" s="14" t="str">
        <f>IFERROR(__xludf.DUMMYFUNCTION("""COMPUTED_VALUE"""),"2025-AT-C345")</f>
        <v>2025-AT-C345</v>
      </c>
      <c r="C373" s="17">
        <f>IFERROR(__xludf.DUMMYFUNCTION("""COMPUTED_VALUE"""),45680.0)</f>
        <v>45680</v>
      </c>
      <c r="D373" s="14" t="str">
        <f>IFERROR(__xludf.DUMMYFUNCTION("""COMPUTED_VALUE"""),"TO")</f>
        <v>TO</v>
      </c>
      <c r="E373" s="14" t="str">
        <f>IFERROR(__xludf.DUMMYFUNCTION("""COMPUTED_VALUE"""),"China")</f>
        <v>China</v>
      </c>
      <c r="F373" s="16" t="str">
        <f>IFERROR(__xludf.DUMMYFUNCTION("""COMPUTED_VALUE"""),"Bureau Veritas")</f>
        <v>Bureau Veritas</v>
      </c>
    </row>
    <row r="374">
      <c r="A374" s="14" t="str">
        <f>IFERROR(__xludf.DUMMYFUNCTION("""COMPUTED_VALUE"""),"Zhao Jin")</f>
        <v>Zhao Jin</v>
      </c>
      <c r="B374" s="14" t="str">
        <f>IFERROR(__xludf.DUMMYFUNCTION("""COMPUTED_VALUE"""),"2025-AT-C346")</f>
        <v>2025-AT-C346</v>
      </c>
      <c r="C374" s="17">
        <f>IFERROR(__xludf.DUMMYFUNCTION("""COMPUTED_VALUE"""),45680.0)</f>
        <v>45680</v>
      </c>
      <c r="D374" s="14" t="str">
        <f>IFERROR(__xludf.DUMMYFUNCTION("""COMPUTED_VALUE"""),"TO")</f>
        <v>TO</v>
      </c>
      <c r="E374" s="14" t="str">
        <f>IFERROR(__xludf.DUMMYFUNCTION("""COMPUTED_VALUE"""),"China")</f>
        <v>China</v>
      </c>
      <c r="F374" s="16" t="str">
        <f>IFERROR(__xludf.DUMMYFUNCTION("""COMPUTED_VALUE"""),"Control Union Certification (Shanghai)")</f>
        <v>Control Union Certification (Shanghai)</v>
      </c>
    </row>
    <row r="375">
      <c r="A375" s="14" t="str">
        <f>IFERROR(__xludf.DUMMYFUNCTION("""COMPUTED_VALUE"""),"Louis (Jaewook) Jang")</f>
        <v>Louis (Jaewook) Jang</v>
      </c>
      <c r="B375" s="14" t="str">
        <f>IFERROR(__xludf.DUMMYFUNCTION("""COMPUTED_VALUE"""),"2025-AT-C347")</f>
        <v>2025-AT-C347</v>
      </c>
      <c r="C375" s="17">
        <f>IFERROR(__xludf.DUMMYFUNCTION("""COMPUTED_VALUE"""),45680.0)</f>
        <v>45680</v>
      </c>
      <c r="D375" s="14" t="str">
        <f>IFERROR(__xludf.DUMMYFUNCTION("""COMPUTED_VALUE"""),"H")</f>
        <v>H</v>
      </c>
      <c r="E375" s="14" t="str">
        <f>IFERROR(__xludf.DUMMYFUNCTION("""COMPUTED_VALUE"""),"Republic of Korea")</f>
        <v>Republic of Korea</v>
      </c>
      <c r="F375" s="16" t="str">
        <f>IFERROR(__xludf.DUMMYFUNCTION("""COMPUTED_VALUE"""),"Control Union Certification (Korea)")</f>
        <v>Control Union Certification (Korea)</v>
      </c>
    </row>
    <row r="376">
      <c r="A376" s="14" t="str">
        <f>IFERROR(__xludf.DUMMYFUNCTION("""COMPUTED_VALUE"""),"Alice Wang")</f>
        <v>Alice Wang</v>
      </c>
      <c r="B376" s="14" t="str">
        <f>IFERROR(__xludf.DUMMYFUNCTION("""COMPUTED_VALUE"""),"2025-AT-C348")</f>
        <v>2025-AT-C348</v>
      </c>
      <c r="C376" s="17">
        <f>IFERROR(__xludf.DUMMYFUNCTION("""COMPUTED_VALUE"""),45680.0)</f>
        <v>45680</v>
      </c>
      <c r="D376" s="14" t="str">
        <f>IFERROR(__xludf.DUMMYFUNCTION("""COMPUTED_VALUE"""),"H")</f>
        <v>H</v>
      </c>
      <c r="E376" s="14" t="str">
        <f>IFERROR(__xludf.DUMMYFUNCTION("""COMPUTED_VALUE"""),"China")</f>
        <v>China</v>
      </c>
      <c r="F376" s="16" t="str">
        <f>IFERROR(__xludf.DUMMYFUNCTION("""COMPUTED_VALUE"""),"TÜV Rheinland (Guangdong) Ltd.,")</f>
        <v>TÜV Rheinland (Guangdong) Ltd.,</v>
      </c>
    </row>
    <row r="377">
      <c r="A377" s="14" t="str">
        <f>IFERROR(__xludf.DUMMYFUNCTION("""COMPUTED_VALUE"""),"Ali Mansur")</f>
        <v>Ali Mansur</v>
      </c>
      <c r="B377" s="14" t="str">
        <f>IFERROR(__xludf.DUMMYFUNCTION("""COMPUTED_VALUE"""),"2025-AT-C349")</f>
        <v>2025-AT-C349</v>
      </c>
      <c r="C377" s="17">
        <f>IFERROR(__xludf.DUMMYFUNCTION("""COMPUTED_VALUE"""),45680.0)</f>
        <v>45680</v>
      </c>
      <c r="D377" s="14" t="str">
        <f>IFERROR(__xludf.DUMMYFUNCTION("""COMPUTED_VALUE"""),"H")</f>
        <v>H</v>
      </c>
      <c r="E377" s="14" t="str">
        <f>IFERROR(__xludf.DUMMYFUNCTION("""COMPUTED_VALUE"""),"Indonesia")</f>
        <v>Indonesia</v>
      </c>
      <c r="F377" s="16" t="str">
        <f>IFERROR(__xludf.DUMMYFUNCTION("""COMPUTED_VALUE"""),"TUV Rheinland Indonesia")</f>
        <v>TUV Rheinland Indonesia</v>
      </c>
    </row>
    <row r="378">
      <c r="A378" s="14" t="str">
        <f>IFERROR(__xludf.DUMMYFUNCTION("""COMPUTED_VALUE"""),"REYHAN ÜNALDI")</f>
        <v>REYHAN ÜNALDI</v>
      </c>
      <c r="B378" s="14" t="str">
        <f>IFERROR(__xludf.DUMMYFUNCTION("""COMPUTED_VALUE"""),"2025-AT-C350")</f>
        <v>2025-AT-C350</v>
      </c>
      <c r="C378" s="17">
        <f>IFERROR(__xludf.DUMMYFUNCTION("""COMPUTED_VALUE"""),45680.0)</f>
        <v>45680</v>
      </c>
      <c r="D378" s="14" t="str">
        <f>IFERROR(__xludf.DUMMYFUNCTION("""COMPUTED_VALUE"""),"H")</f>
        <v>H</v>
      </c>
      <c r="E378" s="14" t="str">
        <f>IFERROR(__xludf.DUMMYFUNCTION("""COMPUTED_VALUE"""),"Turkiye")</f>
        <v>Turkiye</v>
      </c>
      <c r="F378" s="16" t="str">
        <f>IFERROR(__xludf.DUMMYFUNCTION("""COMPUTED_VALUE"""),"ISOQAR")</f>
        <v>ISOQAR</v>
      </c>
    </row>
    <row r="379">
      <c r="A379" s="14" t="str">
        <f>IFERROR(__xludf.DUMMYFUNCTION("""COMPUTED_VALUE"""),"Fumiko Ito")</f>
        <v>Fumiko Ito</v>
      </c>
      <c r="B379" s="14" t="str">
        <f>IFERROR(__xludf.DUMMYFUNCTION("""COMPUTED_VALUE"""),"2025-AT-C351")</f>
        <v>2025-AT-C351</v>
      </c>
      <c r="C379" s="17">
        <f>IFERROR(__xludf.DUMMYFUNCTION("""COMPUTED_VALUE"""),45680.0)</f>
        <v>45680</v>
      </c>
      <c r="D379" s="14" t="str">
        <f>IFERROR(__xludf.DUMMYFUNCTION("""COMPUTED_VALUE"""),"TO")</f>
        <v>TO</v>
      </c>
      <c r="E379" s="14" t="str">
        <f>IFERROR(__xludf.DUMMYFUNCTION("""COMPUTED_VALUE"""),"Japan")</f>
        <v>Japan</v>
      </c>
      <c r="F379" s="16" t="str">
        <f>IFERROR(__xludf.DUMMYFUNCTION("""COMPUTED_VALUE"""),"Japan Airlines Co.,Ltd.")</f>
        <v>Japan Airlines Co.,Ltd.</v>
      </c>
    </row>
    <row r="380">
      <c r="A380" s="14" t="str">
        <f>IFERROR(__xludf.DUMMYFUNCTION("""COMPUTED_VALUE"""),"Serena Quadri")</f>
        <v>Serena Quadri</v>
      </c>
      <c r="B380" s="14" t="str">
        <f>IFERROR(__xludf.DUMMYFUNCTION("""COMPUTED_VALUE"""),"2025-AT-C352")</f>
        <v>2025-AT-C352</v>
      </c>
      <c r="C380" s="17">
        <f>IFERROR(__xludf.DUMMYFUNCTION("""COMPUTED_VALUE"""),45680.0)</f>
        <v>45680</v>
      </c>
      <c r="D380" s="14" t="str">
        <f>IFERROR(__xludf.DUMMYFUNCTION("""COMPUTED_VALUE"""),"TO")</f>
        <v>TO</v>
      </c>
      <c r="E380" s="14" t="str">
        <f>IFERROR(__xludf.DUMMYFUNCTION("""COMPUTED_VALUE"""),"Italy")</f>
        <v>Italy</v>
      </c>
      <c r="F380" s="16" t="str">
        <f>IFERROR(__xludf.DUMMYFUNCTION("""COMPUTED_VALUE"""),"Accredia")</f>
        <v>Accredia</v>
      </c>
    </row>
    <row r="381">
      <c r="A381" s="14" t="str">
        <f>IFERROR(__xludf.DUMMYFUNCTION("""COMPUTED_VALUE"""),"Esra Ulusoy")</f>
        <v>Esra Ulusoy</v>
      </c>
      <c r="B381" s="14" t="str">
        <f>IFERROR(__xludf.DUMMYFUNCTION("""COMPUTED_VALUE"""),"2025-AT-C353")</f>
        <v>2025-AT-C353</v>
      </c>
      <c r="C381" s="17">
        <f>IFERROR(__xludf.DUMMYFUNCTION("""COMPUTED_VALUE"""),45681.0)</f>
        <v>45681</v>
      </c>
      <c r="D381" s="14" t="str">
        <f>IFERROR(__xludf.DUMMYFUNCTION("""COMPUTED_VALUE"""),"H")</f>
        <v>H</v>
      </c>
      <c r="E381" s="14" t="str">
        <f>IFERROR(__xludf.DUMMYFUNCTION("""COMPUTED_VALUE"""),"Turkiye")</f>
        <v>Turkiye</v>
      </c>
      <c r="F381" s="16" t="str">
        <f>IFERROR(__xludf.DUMMYFUNCTION("""COMPUTED_VALUE"""),"Bureau Veritas")</f>
        <v>Bureau Veritas</v>
      </c>
    </row>
    <row r="382">
      <c r="A382" s="14" t="str">
        <f>IFERROR(__xludf.DUMMYFUNCTION("""COMPUTED_VALUE"""),"Chung Joyce")</f>
        <v>Chung Joyce</v>
      </c>
      <c r="B382" s="14" t="str">
        <f>IFERROR(__xludf.DUMMYFUNCTION("""COMPUTED_VALUE"""),"2025-AT-C354")</f>
        <v>2025-AT-C354</v>
      </c>
      <c r="C382" s="17">
        <f>IFERROR(__xludf.DUMMYFUNCTION("""COMPUTED_VALUE"""),45681.0)</f>
        <v>45681</v>
      </c>
      <c r="D382" s="14" t="str">
        <f>IFERROR(__xludf.DUMMYFUNCTION("""COMPUTED_VALUE"""),"H")</f>
        <v>H</v>
      </c>
      <c r="E382" s="14" t="str">
        <f>IFERROR(__xludf.DUMMYFUNCTION("""COMPUTED_VALUE"""),"Singapore")</f>
        <v>Singapore</v>
      </c>
      <c r="F382" s="16" t="str">
        <f>IFERROR(__xludf.DUMMYFUNCTION("""COMPUTED_VALUE"""),"Control Union")</f>
        <v>Control Union</v>
      </c>
    </row>
    <row r="383">
      <c r="A383" s="14" t="str">
        <f>IFERROR(__xludf.DUMMYFUNCTION("""COMPUTED_VALUE"""),"CEVHER KURT")</f>
        <v>CEVHER KURT</v>
      </c>
      <c r="B383" s="14" t="str">
        <f>IFERROR(__xludf.DUMMYFUNCTION("""COMPUTED_VALUE"""),"2025-AT-C355")</f>
        <v>2025-AT-C355</v>
      </c>
      <c r="C383" s="17">
        <f>IFERROR(__xludf.DUMMYFUNCTION("""COMPUTED_VALUE"""),45695.0)</f>
        <v>45695</v>
      </c>
      <c r="D383" s="14" t="str">
        <f>IFERROR(__xludf.DUMMYFUNCTION("""COMPUTED_VALUE"""),"H")</f>
        <v>H</v>
      </c>
      <c r="E383" s="14" t="str">
        <f>IFERROR(__xludf.DUMMYFUNCTION("""COMPUTED_VALUE"""),"Turkiye")</f>
        <v>Turkiye</v>
      </c>
      <c r="F383" s="16" t="str">
        <f>IFERROR(__xludf.DUMMYFUNCTION("""COMPUTED_VALUE"""),"ISOQAR BELGELENDİRME")</f>
        <v>ISOQAR BELGELENDİRME</v>
      </c>
    </row>
    <row r="384">
      <c r="A384" s="14" t="str">
        <f>IFERROR(__xludf.DUMMYFUNCTION("""COMPUTED_VALUE"""),"MERVE SEÇİLMİŞ")</f>
        <v>MERVE SEÇİLMİŞ</v>
      </c>
      <c r="B384" s="14" t="str">
        <f>IFERROR(__xludf.DUMMYFUNCTION("""COMPUTED_VALUE"""),"2025-AT-C356")</f>
        <v>2025-AT-C356</v>
      </c>
      <c r="C384" s="17">
        <f>IFERROR(__xludf.DUMMYFUNCTION("""COMPUTED_VALUE"""),45699.0)</f>
        <v>45699</v>
      </c>
      <c r="D384" s="14" t="str">
        <f>IFERROR(__xludf.DUMMYFUNCTION("""COMPUTED_VALUE"""),"H")</f>
        <v>H</v>
      </c>
      <c r="E384" s="14" t="str">
        <f>IFERROR(__xludf.DUMMYFUNCTION("""COMPUTED_VALUE"""),"Turkiye")</f>
        <v>Turkiye</v>
      </c>
      <c r="F384" s="16"/>
    </row>
    <row r="385">
      <c r="A385" s="14" t="str">
        <f>IFERROR(__xludf.DUMMYFUNCTION("""COMPUTED_VALUE"""),"MERVE SEÇİLMİŞ")</f>
        <v>MERVE SEÇİLMİŞ</v>
      </c>
      <c r="B385" s="14" t="str">
        <f>IFERROR(__xludf.DUMMYFUNCTION("""COMPUTED_VALUE"""),"2025-AT-C357")</f>
        <v>2025-AT-C357</v>
      </c>
      <c r="C385" s="17">
        <f>IFERROR(__xludf.DUMMYFUNCTION("""COMPUTED_VALUE"""),45699.0)</f>
        <v>45699</v>
      </c>
      <c r="D385" s="14" t="str">
        <f>IFERROR(__xludf.DUMMYFUNCTION("""COMPUTED_VALUE"""),"TO")</f>
        <v>TO</v>
      </c>
      <c r="E385" s="14" t="str">
        <f>IFERROR(__xludf.DUMMYFUNCTION("""COMPUTED_VALUE"""),"Turkiye")</f>
        <v>Turkiye</v>
      </c>
      <c r="F385" s="16"/>
    </row>
    <row r="386">
      <c r="A386" s="14" t="str">
        <f>IFERROR(__xludf.DUMMYFUNCTION("""COMPUTED_VALUE"""),"Atilla Dingil")</f>
        <v>Atilla Dingil</v>
      </c>
      <c r="B386" s="14" t="str">
        <f>IFERROR(__xludf.DUMMYFUNCTION("""COMPUTED_VALUE"""),"2025-AT-C358")</f>
        <v>2025-AT-C358</v>
      </c>
      <c r="C386" s="17">
        <f>IFERROR(__xludf.DUMMYFUNCTION("""COMPUTED_VALUE"""),45699.0)</f>
        <v>45699</v>
      </c>
      <c r="D386" s="14" t="str">
        <f>IFERROR(__xludf.DUMMYFUNCTION("""COMPUTED_VALUE"""),"H")</f>
        <v>H</v>
      </c>
      <c r="E386" s="14" t="str">
        <f>IFERROR(__xludf.DUMMYFUNCTION("""COMPUTED_VALUE"""),"Turkiye")</f>
        <v>Turkiye</v>
      </c>
      <c r="F386" s="16" t="str">
        <f>IFERROR(__xludf.DUMMYFUNCTION("""COMPUTED_VALUE"""),"MERİÇ HOTEL TURUNÇ")</f>
        <v>MERİÇ HOTEL TURUNÇ</v>
      </c>
    </row>
    <row r="387">
      <c r="A387" s="14" t="str">
        <f>IFERROR(__xludf.DUMMYFUNCTION("""COMPUTED_VALUE"""),"AYŞEGÜL ZEYBEK")</f>
        <v>AYŞEGÜL ZEYBEK</v>
      </c>
      <c r="B387" s="14" t="str">
        <f>IFERROR(__xludf.DUMMYFUNCTION("""COMPUTED_VALUE"""),"2025-AT-C359")</f>
        <v>2025-AT-C359</v>
      </c>
      <c r="C387" s="17">
        <f>IFERROR(__xludf.DUMMYFUNCTION("""COMPUTED_VALUE"""),45706.0)</f>
        <v>45706</v>
      </c>
      <c r="D387" s="14" t="str">
        <f>IFERROR(__xludf.DUMMYFUNCTION("""COMPUTED_VALUE"""),"H")</f>
        <v>H</v>
      </c>
      <c r="E387" s="14" t="str">
        <f>IFERROR(__xludf.DUMMYFUNCTION("""COMPUTED_VALUE"""),"Turkiye")</f>
        <v>Turkiye</v>
      </c>
      <c r="F387" s="16" t="str">
        <f>IFERROR(__xludf.DUMMYFUNCTION("""COMPUTED_VALUE"""),"KEMER TURİSTİK OTELCİLER VE İŞLETMECİLER BİRLİĞİ(KETOB)")</f>
        <v>KEMER TURİSTİK OTELCİLER VE İŞLETMECİLER BİRLİĞİ(KETOB)</v>
      </c>
    </row>
    <row r="388">
      <c r="A388" s="14" t="str">
        <f>IFERROR(__xludf.DUMMYFUNCTION("""COMPUTED_VALUE"""),"ELİF YALÇIN")</f>
        <v>ELİF YALÇIN</v>
      </c>
      <c r="B388" s="14" t="str">
        <f>IFERROR(__xludf.DUMMYFUNCTION("""COMPUTED_VALUE"""),"2025-AT-C360")</f>
        <v>2025-AT-C360</v>
      </c>
      <c r="C388" s="17">
        <f>IFERROR(__xludf.DUMMYFUNCTION("""COMPUTED_VALUE"""),45700.0)</f>
        <v>45700</v>
      </c>
      <c r="D388" s="14" t="str">
        <f>IFERROR(__xludf.DUMMYFUNCTION("""COMPUTED_VALUE"""),"TO")</f>
        <v>TO</v>
      </c>
      <c r="E388" s="14" t="str">
        <f>IFERROR(__xludf.DUMMYFUNCTION("""COMPUTED_VALUE"""),"Turkiye")</f>
        <v>Turkiye</v>
      </c>
      <c r="F388" s="16" t="str">
        <f>IFERROR(__xludf.DUMMYFUNCTION("""COMPUTED_VALUE"""),"GCL Uluslararası Belgelendirme Hiz. Ltd. Şti")</f>
        <v>GCL Uluslararası Belgelendirme Hiz. Ltd. Şti</v>
      </c>
    </row>
    <row r="389">
      <c r="A389" s="14" t="str">
        <f>IFERROR(__xludf.DUMMYFUNCTION("""COMPUTED_VALUE"""),"Elif BAL ÖZGÜR")</f>
        <v>Elif BAL ÖZGÜR</v>
      </c>
      <c r="B389" s="14" t="str">
        <f>IFERROR(__xludf.DUMMYFUNCTION("""COMPUTED_VALUE"""),"2025-AT-C361")</f>
        <v>2025-AT-C361</v>
      </c>
      <c r="C389" s="17">
        <f>IFERROR(__xludf.DUMMYFUNCTION("""COMPUTED_VALUE"""),45755.0)</f>
        <v>45755</v>
      </c>
      <c r="D389" s="14" t="str">
        <f>IFERROR(__xludf.DUMMYFUNCTION("""COMPUTED_VALUE"""),"TO")</f>
        <v>TO</v>
      </c>
      <c r="E389" s="14" t="str">
        <f>IFERROR(__xludf.DUMMYFUNCTION("""COMPUTED_VALUE"""),"Turkiye")</f>
        <v>Turkiye</v>
      </c>
      <c r="F389" s="16" t="str">
        <f>IFERROR(__xludf.DUMMYFUNCTION("""COMPUTED_VALUE"""),"TSE Global")</f>
        <v>TSE Global</v>
      </c>
    </row>
    <row r="390">
      <c r="A390" s="14" t="str">
        <f>IFERROR(__xludf.DUMMYFUNCTION("""COMPUTED_VALUE"""),"Elif BAL ÖZGÜR")</f>
        <v>Elif BAL ÖZGÜR</v>
      </c>
      <c r="B390" s="14" t="str">
        <f>IFERROR(__xludf.DUMMYFUNCTION("""COMPUTED_VALUE"""),"2025-AT-C362")</f>
        <v>2025-AT-C362</v>
      </c>
      <c r="C390" s="17">
        <f>IFERROR(__xludf.DUMMYFUNCTION("""COMPUTED_VALUE"""),45755.0)</f>
        <v>45755</v>
      </c>
      <c r="D390" s="14" t="str">
        <f>IFERROR(__xludf.DUMMYFUNCTION("""COMPUTED_VALUE"""),"H")</f>
        <v>H</v>
      </c>
      <c r="E390" s="14" t="str">
        <f>IFERROR(__xludf.DUMMYFUNCTION("""COMPUTED_VALUE"""),"Turkiye")</f>
        <v>Turkiye</v>
      </c>
      <c r="F390" s="16" t="str">
        <f>IFERROR(__xludf.DUMMYFUNCTION("""COMPUTED_VALUE"""),"TSE Global")</f>
        <v>TSE Global</v>
      </c>
    </row>
    <row r="391">
      <c r="A391" s="14" t="str">
        <f>IFERROR(__xludf.DUMMYFUNCTION("""COMPUTED_VALUE"""),"Öykü Eroğlu")</f>
        <v>Öykü Eroğlu</v>
      </c>
      <c r="B391" s="14" t="str">
        <f>IFERROR(__xludf.DUMMYFUNCTION("""COMPUTED_VALUE"""),"2025-AT-C363")</f>
        <v>2025-AT-C363</v>
      </c>
      <c r="C391" s="17">
        <f>IFERROR(__xludf.DUMMYFUNCTION("""COMPUTED_VALUE"""),45699.0)</f>
        <v>45699</v>
      </c>
      <c r="D391" s="14" t="str">
        <f>IFERROR(__xludf.DUMMYFUNCTION("""COMPUTED_VALUE"""),"H")</f>
        <v>H</v>
      </c>
      <c r="E391" s="14" t="str">
        <f>IFERROR(__xludf.DUMMYFUNCTION("""COMPUTED_VALUE"""),"Turkiye")</f>
        <v>Turkiye</v>
      </c>
      <c r="F391" s="16" t="str">
        <f>IFERROR(__xludf.DUMMYFUNCTION("""COMPUTED_VALUE"""),"Alberk QA Technic")</f>
        <v>Alberk QA Technic</v>
      </c>
    </row>
    <row r="392">
      <c r="A392" s="14" t="str">
        <f>IFERROR(__xludf.DUMMYFUNCTION("""COMPUTED_VALUE"""),"EBRU TÜRK")</f>
        <v>EBRU TÜRK</v>
      </c>
      <c r="B392" s="14" t="str">
        <f>IFERROR(__xludf.DUMMYFUNCTION("""COMPUTED_VALUE"""),"2025-AT-C364")</f>
        <v>2025-AT-C364</v>
      </c>
      <c r="C392" s="17">
        <f>IFERROR(__xludf.DUMMYFUNCTION("""COMPUTED_VALUE"""),45699.0)</f>
        <v>45699</v>
      </c>
      <c r="D392" s="14" t="str">
        <f>IFERROR(__xludf.DUMMYFUNCTION("""COMPUTED_VALUE"""),"H")</f>
        <v>H</v>
      </c>
      <c r="E392" s="14" t="str">
        <f>IFERROR(__xludf.DUMMYFUNCTION("""COMPUTED_VALUE"""),"Turkiye")</f>
        <v>Turkiye</v>
      </c>
      <c r="F392" s="16" t="str">
        <f>IFERROR(__xludf.DUMMYFUNCTION("""COMPUTED_VALUE"""),"ISOQAR")</f>
        <v>ISOQAR</v>
      </c>
    </row>
    <row r="393">
      <c r="A393" s="14" t="str">
        <f>IFERROR(__xludf.DUMMYFUNCTION("""COMPUTED_VALUE"""),"Esra Sarı")</f>
        <v>Esra Sarı</v>
      </c>
      <c r="B393" s="14" t="str">
        <f>IFERROR(__xludf.DUMMYFUNCTION("""COMPUTED_VALUE"""),"2025-AT-C365")</f>
        <v>2025-AT-C365</v>
      </c>
      <c r="C393" s="17">
        <f>IFERROR(__xludf.DUMMYFUNCTION("""COMPUTED_VALUE"""),45699.0)</f>
        <v>45699</v>
      </c>
      <c r="D393" s="14" t="str">
        <f>IFERROR(__xludf.DUMMYFUNCTION("""COMPUTED_VALUE"""),"H")</f>
        <v>H</v>
      </c>
      <c r="E393" s="14" t="str">
        <f>IFERROR(__xludf.DUMMYFUNCTION("""COMPUTED_VALUE"""),"Turkiye")</f>
        <v>Turkiye</v>
      </c>
      <c r="F393" s="16" t="str">
        <f>IFERROR(__xludf.DUMMYFUNCTION("""COMPUTED_VALUE"""),"RoyalCert")</f>
        <v>RoyalCert</v>
      </c>
    </row>
    <row r="394">
      <c r="A394" s="14" t="str">
        <f>IFERROR(__xludf.DUMMYFUNCTION("""COMPUTED_VALUE"""),"Hacer Taç")</f>
        <v>Hacer Taç</v>
      </c>
      <c r="B394" s="14" t="str">
        <f>IFERROR(__xludf.DUMMYFUNCTION("""COMPUTED_VALUE"""),"2025-AT-C366")</f>
        <v>2025-AT-C366</v>
      </c>
      <c r="C394" s="17">
        <f>IFERROR(__xludf.DUMMYFUNCTION("""COMPUTED_VALUE"""),45713.0)</f>
        <v>45713</v>
      </c>
      <c r="D394" s="14" t="str">
        <f>IFERROR(__xludf.DUMMYFUNCTION("""COMPUTED_VALUE"""),"H")</f>
        <v>H</v>
      </c>
      <c r="E394" s="14" t="str">
        <f>IFERROR(__xludf.DUMMYFUNCTION("""COMPUTED_VALUE"""),"Turkiye")</f>
        <v>Turkiye</v>
      </c>
      <c r="F394" s="16" t="str">
        <f>IFERROR(__xludf.DUMMYFUNCTION("""COMPUTED_VALUE"""),"HSC Danışmanlık")</f>
        <v>HSC Danışmanlık</v>
      </c>
    </row>
    <row r="395">
      <c r="A395" s="14" t="str">
        <f>IFERROR(__xludf.DUMMYFUNCTION("""COMPUTED_VALUE"""),"Esin Mayaöz Ahretlikoğlu")</f>
        <v>Esin Mayaöz Ahretlikoğlu</v>
      </c>
      <c r="B395" s="14" t="str">
        <f>IFERROR(__xludf.DUMMYFUNCTION("""COMPUTED_VALUE"""),"2025-AT-C367")</f>
        <v>2025-AT-C367</v>
      </c>
      <c r="C395" s="17">
        <f>IFERROR(__xludf.DUMMYFUNCTION("""COMPUTED_VALUE"""),45706.0)</f>
        <v>45706</v>
      </c>
      <c r="D395" s="14" t="str">
        <f>IFERROR(__xludf.DUMMYFUNCTION("""COMPUTED_VALUE"""),"H")</f>
        <v>H</v>
      </c>
      <c r="E395" s="14" t="str">
        <f>IFERROR(__xludf.DUMMYFUNCTION("""COMPUTED_VALUE"""),"Turkiye")</f>
        <v>Turkiye</v>
      </c>
      <c r="F395" s="16" t="str">
        <f>IFERROR(__xludf.DUMMYFUNCTION("""COMPUTED_VALUE"""),"RoyalCert")</f>
        <v>RoyalCert</v>
      </c>
    </row>
    <row r="396">
      <c r="A396" s="14" t="str">
        <f>IFERROR(__xludf.DUMMYFUNCTION("""COMPUTED_VALUE"""),"Annisa Dwi Febrianty")</f>
        <v>Annisa Dwi Febrianty</v>
      </c>
      <c r="B396" s="14" t="str">
        <f>IFERROR(__xludf.DUMMYFUNCTION("""COMPUTED_VALUE"""),"2025-AT-C368")</f>
        <v>2025-AT-C368</v>
      </c>
      <c r="C396" s="17"/>
      <c r="D396" s="14" t="str">
        <f>IFERROR(__xludf.DUMMYFUNCTION("""COMPUTED_VALUE"""),"TO")</f>
        <v>TO</v>
      </c>
      <c r="E396" s="14" t="str">
        <f>IFERROR(__xludf.DUMMYFUNCTION("""COMPUTED_VALUE"""),"Indonesia")</f>
        <v>Indonesia</v>
      </c>
      <c r="F396" s="16" t="str">
        <f>IFERROR(__xludf.DUMMYFUNCTION("""COMPUTED_VALUE"""),"Wise Steps Consulting")</f>
        <v>Wise Steps Consulting</v>
      </c>
    </row>
    <row r="397">
      <c r="A397" s="14" t="str">
        <f>IFERROR(__xludf.DUMMYFUNCTION("""COMPUTED_VALUE"""),"Gamze Dağdaş")</f>
        <v>Gamze Dağdaş</v>
      </c>
      <c r="B397" s="14" t="str">
        <f>IFERROR(__xludf.DUMMYFUNCTION("""COMPUTED_VALUE"""),"2025-AT-C369")</f>
        <v>2025-AT-C369</v>
      </c>
      <c r="C397" s="17">
        <f>IFERROR(__xludf.DUMMYFUNCTION("""COMPUTED_VALUE"""),45706.0)</f>
        <v>45706</v>
      </c>
      <c r="D397" s="14" t="str">
        <f>IFERROR(__xludf.DUMMYFUNCTION("""COMPUTED_VALUE"""),"TO")</f>
        <v>TO</v>
      </c>
      <c r="E397" s="14" t="str">
        <f>IFERROR(__xludf.DUMMYFUNCTION("""COMPUTED_VALUE"""),"Turkiye")</f>
        <v>Turkiye</v>
      </c>
      <c r="F397" s="16" t="str">
        <f>IFERROR(__xludf.DUMMYFUNCTION("""COMPUTED_VALUE"""),"TSE Global")</f>
        <v>TSE Global</v>
      </c>
    </row>
    <row r="398">
      <c r="A398" s="14" t="str">
        <f>IFERROR(__xludf.DUMMYFUNCTION("""COMPUTED_VALUE"""),"Tara Hammond")</f>
        <v>Tara Hammond</v>
      </c>
      <c r="B398" s="14" t="str">
        <f>IFERROR(__xludf.DUMMYFUNCTION("""COMPUTED_VALUE"""),"2025-AT-C370")</f>
        <v>2025-AT-C370</v>
      </c>
      <c r="C398" s="17">
        <f>IFERROR(__xludf.DUMMYFUNCTION("""COMPUTED_VALUE"""),45706.0)</f>
        <v>45706</v>
      </c>
      <c r="D398" s="14" t="str">
        <f>IFERROR(__xludf.DUMMYFUNCTION("""COMPUTED_VALUE"""),"TO")</f>
        <v>TO</v>
      </c>
      <c r="E398" s="14" t="str">
        <f>IFERROR(__xludf.DUMMYFUNCTION("""COMPUTED_VALUE"""),"Indonesia")</f>
        <v>Indonesia</v>
      </c>
      <c r="F398" s="16" t="str">
        <f>IFERROR(__xludf.DUMMYFUNCTION("""COMPUTED_VALUE"""),"Six Senses")</f>
        <v>Six Senses</v>
      </c>
    </row>
    <row r="399">
      <c r="A399" s="14" t="str">
        <f>IFERROR(__xludf.DUMMYFUNCTION("""COMPUTED_VALUE"""),"Sanjeewa Senevirathna")</f>
        <v>Sanjeewa Senevirathna</v>
      </c>
      <c r="B399" s="14" t="str">
        <f>IFERROR(__xludf.DUMMYFUNCTION("""COMPUTED_VALUE"""),"2025-AT-C371")</f>
        <v>2025-AT-C371</v>
      </c>
      <c r="C399" s="17">
        <f>IFERROR(__xludf.DUMMYFUNCTION("""COMPUTED_VALUE"""),45707.0)</f>
        <v>45707</v>
      </c>
      <c r="D399" s="14" t="str">
        <f>IFERROR(__xludf.DUMMYFUNCTION("""COMPUTED_VALUE"""),"TO")</f>
        <v>TO</v>
      </c>
      <c r="E399" s="14" t="str">
        <f>IFERROR(__xludf.DUMMYFUNCTION("""COMPUTED_VALUE"""),"Sri Lanka")</f>
        <v>Sri Lanka</v>
      </c>
      <c r="F399" s="16" t="str">
        <f>IFERROR(__xludf.DUMMYFUNCTION("""COMPUTED_VALUE"""),"Royalcert International Registrars Germany (Srilanka)")</f>
        <v>Royalcert International Registrars Germany (Srilanka)</v>
      </c>
    </row>
    <row r="400">
      <c r="A400" s="14" t="str">
        <f>IFERROR(__xludf.DUMMYFUNCTION("""COMPUTED_VALUE"""),"Fatma Özlem Demir")</f>
        <v>Fatma Özlem Demir</v>
      </c>
      <c r="B400" s="14" t="str">
        <f>IFERROR(__xludf.DUMMYFUNCTION("""COMPUTED_VALUE"""),"2025-AT-C372")</f>
        <v>2025-AT-C372</v>
      </c>
      <c r="C400" s="17">
        <f>IFERROR(__xludf.DUMMYFUNCTION("""COMPUTED_VALUE"""),45706.0)</f>
        <v>45706</v>
      </c>
      <c r="D400" s="14" t="str">
        <f>IFERROR(__xludf.DUMMYFUNCTION("""COMPUTED_VALUE"""),"H")</f>
        <v>H</v>
      </c>
      <c r="E400" s="14" t="str">
        <f>IFERROR(__xludf.DUMMYFUNCTION("""COMPUTED_VALUE"""),"Turkiye")</f>
        <v>Turkiye</v>
      </c>
      <c r="F400" s="16" t="str">
        <f>IFERROR(__xludf.DUMMYFUNCTION("""COMPUTED_VALUE"""),"ÖZDE AKADEMİ")</f>
        <v>ÖZDE AKADEMİ</v>
      </c>
    </row>
    <row r="401">
      <c r="A401" s="14" t="str">
        <f>IFERROR(__xludf.DUMMYFUNCTION("""COMPUTED_VALUE"""),"Zuhal Beşikkaya")</f>
        <v>Zuhal Beşikkaya</v>
      </c>
      <c r="B401" s="14" t="str">
        <f>IFERROR(__xludf.DUMMYFUNCTION("""COMPUTED_VALUE"""),"2025-AT-C373")</f>
        <v>2025-AT-C373</v>
      </c>
      <c r="C401" s="17">
        <f>IFERROR(__xludf.DUMMYFUNCTION("""COMPUTED_VALUE"""),45713.0)</f>
        <v>45713</v>
      </c>
      <c r="D401" s="14" t="str">
        <f>IFERROR(__xludf.DUMMYFUNCTION("""COMPUTED_VALUE"""),"H")</f>
        <v>H</v>
      </c>
      <c r="E401" s="14" t="str">
        <f>IFERROR(__xludf.DUMMYFUNCTION("""COMPUTED_VALUE"""),"Turkiye")</f>
        <v>Turkiye</v>
      </c>
      <c r="F401" s="16" t="str">
        <f>IFERROR(__xludf.DUMMYFUNCTION("""COMPUTED_VALUE"""),"Bureau Veritas (Nirvana Hotels)")</f>
        <v>Bureau Veritas (Nirvana Hotels)</v>
      </c>
    </row>
    <row r="402">
      <c r="A402" s="14" t="str">
        <f>IFERROR(__xludf.DUMMYFUNCTION("""COMPUTED_VALUE"""),"Sanjeewa Senevirathna")</f>
        <v>Sanjeewa Senevirathna</v>
      </c>
      <c r="B402" s="14" t="str">
        <f>IFERROR(__xludf.DUMMYFUNCTION("""COMPUTED_VALUE"""),"2025-AT-C374")</f>
        <v>2025-AT-C374</v>
      </c>
      <c r="C402" s="17">
        <f>IFERROR(__xludf.DUMMYFUNCTION("""COMPUTED_VALUE"""),45713.0)</f>
        <v>45713</v>
      </c>
      <c r="D402" s="14" t="str">
        <f>IFERROR(__xludf.DUMMYFUNCTION("""COMPUTED_VALUE"""),"H")</f>
        <v>H</v>
      </c>
      <c r="E402" s="14" t="str">
        <f>IFERROR(__xludf.DUMMYFUNCTION("""COMPUTED_VALUE"""),"Sri Lanka")</f>
        <v>Sri Lanka</v>
      </c>
      <c r="F402" s="16" t="str">
        <f>IFERROR(__xludf.DUMMYFUNCTION("""COMPUTED_VALUE"""),"Royalcert International Registrars Germany (Srilanka)")</f>
        <v>Royalcert International Registrars Germany (Srilanka)</v>
      </c>
    </row>
    <row r="403">
      <c r="A403" s="14" t="str">
        <f>IFERROR(__xludf.DUMMYFUNCTION("""COMPUTED_VALUE"""),"Erkan Deniz")</f>
        <v>Erkan Deniz</v>
      </c>
      <c r="B403" s="14" t="str">
        <f>IFERROR(__xludf.DUMMYFUNCTION("""COMPUTED_VALUE"""),"2025-AT-C375")</f>
        <v>2025-AT-C375</v>
      </c>
      <c r="C403" s="17">
        <f>IFERROR(__xludf.DUMMYFUNCTION("""COMPUTED_VALUE"""),45735.0)</f>
        <v>45735</v>
      </c>
      <c r="D403" s="14" t="str">
        <f>IFERROR(__xludf.DUMMYFUNCTION("""COMPUTED_VALUE"""),"H")</f>
        <v>H</v>
      </c>
      <c r="E403" s="14" t="str">
        <f>IFERROR(__xludf.DUMMYFUNCTION("""COMPUTED_VALUE"""),"Turkiye")</f>
        <v>Turkiye</v>
      </c>
      <c r="F403" s="16" t="str">
        <f>IFERROR(__xludf.DUMMYFUNCTION("""COMPUTED_VALUE"""),"RoyalCert")</f>
        <v>RoyalCert</v>
      </c>
    </row>
    <row r="404">
      <c r="A404" s="14" t="str">
        <f>IFERROR(__xludf.DUMMYFUNCTION("""COMPUTED_VALUE"""),"Avery Zhu")</f>
        <v>Avery Zhu</v>
      </c>
      <c r="B404" s="14" t="str">
        <f>IFERROR(__xludf.DUMMYFUNCTION("""COMPUTED_VALUE"""),"2025-AT-C376")</f>
        <v>2025-AT-C376</v>
      </c>
      <c r="C404" s="17">
        <f>IFERROR(__xludf.DUMMYFUNCTION("""COMPUTED_VALUE"""),45798.0)</f>
        <v>45798</v>
      </c>
      <c r="D404" s="14" t="str">
        <f>IFERROR(__xludf.DUMMYFUNCTION("""COMPUTED_VALUE"""),"H")</f>
        <v>H</v>
      </c>
      <c r="E404" s="14" t="str">
        <f>IFERROR(__xludf.DUMMYFUNCTION("""COMPUTED_VALUE"""),"China")</f>
        <v>China</v>
      </c>
      <c r="F404" s="16" t="str">
        <f>IFERROR(__xludf.DUMMYFUNCTION("""COMPUTED_VALUE"""),"TÜV Rheinland (Guangdong) Ltd.,")</f>
        <v>TÜV Rheinland (Guangdong) Ltd.,</v>
      </c>
    </row>
    <row r="405">
      <c r="A405" s="14" t="str">
        <f>IFERROR(__xludf.DUMMYFUNCTION("""COMPUTED_VALUE"""),"María Ester Guðjónsdóttir")</f>
        <v>María Ester Guðjónsdóttir</v>
      </c>
      <c r="B405" s="14" t="str">
        <f>IFERROR(__xludf.DUMMYFUNCTION("""COMPUTED_VALUE"""),"2025-AT-C377")</f>
        <v>2025-AT-C377</v>
      </c>
      <c r="C405" s="17">
        <f>IFERROR(__xludf.DUMMYFUNCTION("""COMPUTED_VALUE"""),45720.0)</f>
        <v>45720</v>
      </c>
      <c r="D405" s="14" t="str">
        <f>IFERROR(__xludf.DUMMYFUNCTION("""COMPUTED_VALUE"""),"TO")</f>
        <v>TO</v>
      </c>
      <c r="E405" s="14" t="str">
        <f>IFERROR(__xludf.DUMMYFUNCTION("""COMPUTED_VALUE"""),"Iceland")</f>
        <v>Iceland</v>
      </c>
      <c r="F405" s="16" t="str">
        <f>IFERROR(__xludf.DUMMYFUNCTION("""COMPUTED_VALUE"""),"Iceland Travel / Travel Connect")</f>
        <v>Iceland Travel / Travel Connect</v>
      </c>
    </row>
    <row r="406">
      <c r="A406" s="14" t="str">
        <f>IFERROR(__xludf.DUMMYFUNCTION("""COMPUTED_VALUE"""),"ECEVİT BARKIN KALUÇ")</f>
        <v>ECEVİT BARKIN KALUÇ</v>
      </c>
      <c r="B406" s="14" t="str">
        <f>IFERROR(__xludf.DUMMYFUNCTION("""COMPUTED_VALUE"""),"2025-AT-C378")</f>
        <v>2025-AT-C378</v>
      </c>
      <c r="C406" s="17">
        <f>IFERROR(__xludf.DUMMYFUNCTION("""COMPUTED_VALUE"""),45721.0)</f>
        <v>45721</v>
      </c>
      <c r="D406" s="14" t="str">
        <f>IFERROR(__xludf.DUMMYFUNCTION("""COMPUTED_VALUE"""),"H")</f>
        <v>H</v>
      </c>
      <c r="E406" s="14" t="str">
        <f>IFERROR(__xludf.DUMMYFUNCTION("""COMPUTED_VALUE"""),"Turkiye")</f>
        <v>Turkiye</v>
      </c>
      <c r="F406" s="16" t="str">
        <f>IFERROR(__xludf.DUMMYFUNCTION("""COMPUTED_VALUE"""),"İSOQAR(VİREO)BELGELENDİRME LİMİTED ŞİRKETİ")</f>
        <v>İSOQAR(VİREO)BELGELENDİRME LİMİTED ŞİRKETİ</v>
      </c>
    </row>
    <row r="407">
      <c r="A407" s="14" t="str">
        <f>IFERROR(__xludf.DUMMYFUNCTION("""COMPUTED_VALUE"""),"HAZAL ARSLAN")</f>
        <v>HAZAL ARSLAN</v>
      </c>
      <c r="B407" s="14" t="str">
        <f>IFERROR(__xludf.DUMMYFUNCTION("""COMPUTED_VALUE"""),"2025-AT-C379")</f>
        <v>2025-AT-C379</v>
      </c>
      <c r="C407" s="17">
        <f>IFERROR(__xludf.DUMMYFUNCTION("""COMPUTED_VALUE"""),45720.0)</f>
        <v>45720</v>
      </c>
      <c r="D407" s="14" t="str">
        <f>IFERROR(__xludf.DUMMYFUNCTION("""COMPUTED_VALUE"""),"H")</f>
        <v>H</v>
      </c>
      <c r="E407" s="14" t="str">
        <f>IFERROR(__xludf.DUMMYFUNCTION("""COMPUTED_VALUE"""),"Turkiye")</f>
        <v>Turkiye</v>
      </c>
      <c r="F407" s="16" t="str">
        <f>IFERROR(__xludf.DUMMYFUNCTION("""COMPUTED_VALUE"""),"TUV Austria Turk (DORUK DANIŞMANLIK)")</f>
        <v>TUV Austria Turk (DORUK DANIŞMANLIK)</v>
      </c>
    </row>
    <row r="408">
      <c r="A408" s="14" t="str">
        <f>IFERROR(__xludf.DUMMYFUNCTION("""COMPUTED_VALUE"""),"Sabriye Şule Kaya")</f>
        <v>Sabriye Şule Kaya</v>
      </c>
      <c r="B408" s="14" t="str">
        <f>IFERROR(__xludf.DUMMYFUNCTION("""COMPUTED_VALUE"""),"2025-AT-C380")</f>
        <v>2025-AT-C380</v>
      </c>
      <c r="C408" s="17">
        <f>IFERROR(__xludf.DUMMYFUNCTION("""COMPUTED_VALUE"""),45720.0)</f>
        <v>45720</v>
      </c>
      <c r="D408" s="14" t="str">
        <f>IFERROR(__xludf.DUMMYFUNCTION("""COMPUTED_VALUE"""),"H")</f>
        <v>H</v>
      </c>
      <c r="E408" s="14" t="str">
        <f>IFERROR(__xludf.DUMMYFUNCTION("""COMPUTED_VALUE"""),"Turkiye")</f>
        <v>Turkiye</v>
      </c>
      <c r="F408" s="16" t="str">
        <f>IFERROR(__xludf.DUMMYFUNCTION("""COMPUTED_VALUE"""),"Hedef Yönetim Danışmanlık A.Ş.")</f>
        <v>Hedef Yönetim Danışmanlık A.Ş.</v>
      </c>
    </row>
    <row r="409">
      <c r="A409" s="14" t="str">
        <f>IFERROR(__xludf.DUMMYFUNCTION("""COMPUTED_VALUE"""),"Samiye Meral Özduru")</f>
        <v>Samiye Meral Özduru</v>
      </c>
      <c r="B409" s="14" t="str">
        <f>IFERROR(__xludf.DUMMYFUNCTION("""COMPUTED_VALUE"""),"2025-AT-C381")</f>
        <v>2025-AT-C381</v>
      </c>
      <c r="C409" s="17">
        <f>IFERROR(__xludf.DUMMYFUNCTION("""COMPUTED_VALUE"""),45721.0)</f>
        <v>45721</v>
      </c>
      <c r="D409" s="14" t="str">
        <f>IFERROR(__xludf.DUMMYFUNCTION("""COMPUTED_VALUE"""),"H")</f>
        <v>H</v>
      </c>
      <c r="E409" s="14" t="str">
        <f>IFERROR(__xludf.DUMMYFUNCTION("""COMPUTED_VALUE"""),"Turkiye")</f>
        <v>Turkiye</v>
      </c>
      <c r="F409" s="16" t="str">
        <f>IFERROR(__xludf.DUMMYFUNCTION("""COMPUTED_VALUE"""),"TRB")</f>
        <v>TRB</v>
      </c>
    </row>
    <row r="410">
      <c r="A410" s="14" t="str">
        <f>IFERROR(__xludf.DUMMYFUNCTION("""COMPUTED_VALUE"""),"Sean Li")</f>
        <v>Sean Li</v>
      </c>
      <c r="B410" s="14" t="str">
        <f>IFERROR(__xludf.DUMMYFUNCTION("""COMPUTED_VALUE"""),"2025-AT-C382")</f>
        <v>2025-AT-C382</v>
      </c>
      <c r="C410" s="17">
        <f>IFERROR(__xludf.DUMMYFUNCTION("""COMPUTED_VALUE"""),45735.0)</f>
        <v>45735</v>
      </c>
      <c r="D410" s="14" t="str">
        <f>IFERROR(__xludf.DUMMYFUNCTION("""COMPUTED_VALUE"""),"H")</f>
        <v>H</v>
      </c>
      <c r="E410" s="14" t="str">
        <f>IFERROR(__xludf.DUMMYFUNCTION("""COMPUTED_VALUE"""),"China")</f>
        <v>China</v>
      </c>
      <c r="F410" s="16" t="str">
        <f>IFERROR(__xludf.DUMMYFUNCTION("""COMPUTED_VALUE"""),"TÜV Rheinland (Guangdong) Ltd.,")</f>
        <v>TÜV Rheinland (Guangdong) Ltd.,</v>
      </c>
    </row>
    <row r="411">
      <c r="A411" s="14" t="str">
        <f>IFERROR(__xludf.DUMMYFUNCTION("""COMPUTED_VALUE"""),"FİLİZ KARATEPE")</f>
        <v>FİLİZ KARATEPE</v>
      </c>
      <c r="B411" s="14" t="str">
        <f>IFERROR(__xludf.DUMMYFUNCTION("""COMPUTED_VALUE"""),"2025-AT-C383")</f>
        <v>2025-AT-C383</v>
      </c>
      <c r="C411" s="17">
        <f>IFERROR(__xludf.DUMMYFUNCTION("""COMPUTED_VALUE"""),45727.0)</f>
        <v>45727</v>
      </c>
      <c r="D411" s="14" t="str">
        <f>IFERROR(__xludf.DUMMYFUNCTION("""COMPUTED_VALUE"""),"H")</f>
        <v>H</v>
      </c>
      <c r="E411" s="14" t="str">
        <f>IFERROR(__xludf.DUMMYFUNCTION("""COMPUTED_VALUE"""),"Turkiye")</f>
        <v>Turkiye</v>
      </c>
      <c r="F411" s="16" t="str">
        <f>IFERROR(__xludf.DUMMYFUNCTION("""COMPUTED_VALUE"""),"simtur işl. san. tic ltd. şti.")</f>
        <v>simtur işl. san. tic ltd. şti.</v>
      </c>
    </row>
    <row r="412">
      <c r="A412" s="14" t="str">
        <f>IFERROR(__xludf.DUMMYFUNCTION("""COMPUTED_VALUE"""),"ÖZLEM BİNGÖL")</f>
        <v>ÖZLEM BİNGÖL</v>
      </c>
      <c r="B412" s="14" t="str">
        <f>IFERROR(__xludf.DUMMYFUNCTION("""COMPUTED_VALUE"""),"2025-AT-C384")</f>
        <v>2025-AT-C384</v>
      </c>
      <c r="C412" s="17">
        <f>IFERROR(__xludf.DUMMYFUNCTION("""COMPUTED_VALUE"""),45727.0)</f>
        <v>45727</v>
      </c>
      <c r="D412" s="14" t="str">
        <f>IFERROR(__xludf.DUMMYFUNCTION("""COMPUTED_VALUE"""),"H")</f>
        <v>H</v>
      </c>
      <c r="E412" s="14" t="str">
        <f>IFERROR(__xludf.DUMMYFUNCTION("""COMPUTED_VALUE"""),"Turkiye")</f>
        <v>Turkiye</v>
      </c>
      <c r="F412" s="16" t="str">
        <f>IFERROR(__xludf.DUMMYFUNCTION("""COMPUTED_VALUE"""),"TRB")</f>
        <v>TRB</v>
      </c>
    </row>
    <row r="413">
      <c r="A413" s="14" t="str">
        <f>IFERROR(__xludf.DUMMYFUNCTION("""COMPUTED_VALUE"""),"ŞEYDA OTLUOĞLU KUYUMCU")</f>
        <v>ŞEYDA OTLUOĞLU KUYUMCU</v>
      </c>
      <c r="B413" s="14" t="str">
        <f>IFERROR(__xludf.DUMMYFUNCTION("""COMPUTED_VALUE"""),"2025-AT-C385")</f>
        <v>2025-AT-C385</v>
      </c>
      <c r="C413" s="17">
        <f>IFERROR(__xludf.DUMMYFUNCTION("""COMPUTED_VALUE"""),45727.0)</f>
        <v>45727</v>
      </c>
      <c r="D413" s="14" t="str">
        <f>IFERROR(__xludf.DUMMYFUNCTION("""COMPUTED_VALUE"""),"H")</f>
        <v>H</v>
      </c>
      <c r="E413" s="14" t="str">
        <f>IFERROR(__xludf.DUMMYFUNCTION("""COMPUTED_VALUE"""),"Turkiye")</f>
        <v>Turkiye</v>
      </c>
      <c r="F413" s="16" t="str">
        <f>IFERROR(__xludf.DUMMYFUNCTION("""COMPUTED_VALUE"""),"TUV Austria Turk (ETİK MÜHENDİSLİK EĞİTİM &amp; DANIŞMANLIK)")</f>
        <v>TUV Austria Turk (ETİK MÜHENDİSLİK EĞİTİM &amp; DANIŞMANLIK)</v>
      </c>
    </row>
    <row r="414">
      <c r="A414" s="14" t="str">
        <f>IFERROR(__xludf.DUMMYFUNCTION("""COMPUTED_VALUE"""),"Lokman Yunushan KEÇE")</f>
        <v>Lokman Yunushan KEÇE</v>
      </c>
      <c r="B414" s="14" t="str">
        <f>IFERROR(__xludf.DUMMYFUNCTION("""COMPUTED_VALUE"""),"2025-AT-C386")</f>
        <v>2025-AT-C386</v>
      </c>
      <c r="C414" s="17">
        <f>IFERROR(__xludf.DUMMYFUNCTION("""COMPUTED_VALUE"""),45727.0)</f>
        <v>45727</v>
      </c>
      <c r="D414" s="14" t="str">
        <f>IFERROR(__xludf.DUMMYFUNCTION("""COMPUTED_VALUE"""),"H")</f>
        <v>H</v>
      </c>
      <c r="E414" s="14" t="str">
        <f>IFERROR(__xludf.DUMMYFUNCTION("""COMPUTED_VALUE"""),"Turkiye")</f>
        <v>Turkiye</v>
      </c>
      <c r="F414" s="16" t="str">
        <f>IFERROR(__xludf.DUMMYFUNCTION("""COMPUTED_VALUE"""),"FQC")</f>
        <v>FQC</v>
      </c>
    </row>
    <row r="415">
      <c r="A415" s="14" t="str">
        <f>IFERROR(__xludf.DUMMYFUNCTION("""COMPUTED_VALUE"""),"GONCA TEZGÖREN")</f>
        <v>GONCA TEZGÖREN</v>
      </c>
      <c r="B415" s="14" t="str">
        <f>IFERROR(__xludf.DUMMYFUNCTION("""COMPUTED_VALUE"""),"2025-AT-C387")</f>
        <v>2025-AT-C387</v>
      </c>
      <c r="C415" s="17">
        <f>IFERROR(__xludf.DUMMYFUNCTION("""COMPUTED_VALUE"""),45741.0)</f>
        <v>45741</v>
      </c>
      <c r="D415" s="14" t="str">
        <f>IFERROR(__xludf.DUMMYFUNCTION("""COMPUTED_VALUE"""),"H")</f>
        <v>H</v>
      </c>
      <c r="E415" s="14" t="str">
        <f>IFERROR(__xludf.DUMMYFUNCTION("""COMPUTED_VALUE"""),"Turkiye")</f>
        <v>Turkiye</v>
      </c>
      <c r="F415" s="16" t="str">
        <f>IFERROR(__xludf.DUMMYFUNCTION("""COMPUTED_VALUE"""),"RoyalCert")</f>
        <v>RoyalCert</v>
      </c>
    </row>
    <row r="416">
      <c r="A416" s="14" t="str">
        <f>IFERROR(__xludf.DUMMYFUNCTION("""COMPUTED_VALUE"""),"Ahmet Can Þahin")</f>
        <v>Ahmet Can Þahin</v>
      </c>
      <c r="B416" s="14" t="str">
        <f>IFERROR(__xludf.DUMMYFUNCTION("""COMPUTED_VALUE"""),"2025-AT-C388")</f>
        <v>2025-AT-C388</v>
      </c>
      <c r="C416" s="17">
        <f>IFERROR(__xludf.DUMMYFUNCTION("""COMPUTED_VALUE"""),45747.0)</f>
        <v>45747</v>
      </c>
      <c r="D416" s="14" t="str">
        <f>IFERROR(__xludf.DUMMYFUNCTION("""COMPUTED_VALUE"""),"H")</f>
        <v>H</v>
      </c>
      <c r="E416" s="14"/>
      <c r="F416" s="16" t="str">
        <f>IFERROR(__xludf.DUMMYFUNCTION("""COMPUTED_VALUE"""),"Royalcert")</f>
        <v>Royalcert</v>
      </c>
    </row>
    <row r="417">
      <c r="A417" s="14" t="str">
        <f>IFERROR(__xludf.DUMMYFUNCTION("""COMPUTED_VALUE"""),"Gökçen Varol")</f>
        <v>Gökçen Varol</v>
      </c>
      <c r="B417" s="14" t="str">
        <f>IFERROR(__xludf.DUMMYFUNCTION("""COMPUTED_VALUE"""),"2025-AT-C389")</f>
        <v>2025-AT-C389</v>
      </c>
      <c r="C417" s="17">
        <f>IFERROR(__xludf.DUMMYFUNCTION("""COMPUTED_VALUE"""),45741.0)</f>
        <v>45741</v>
      </c>
      <c r="D417" s="14" t="str">
        <f>IFERROR(__xludf.DUMMYFUNCTION("""COMPUTED_VALUE"""),"H")</f>
        <v>H</v>
      </c>
      <c r="E417" s="14" t="str">
        <f>IFERROR(__xludf.DUMMYFUNCTION("""COMPUTED_VALUE"""),"Turkiye")</f>
        <v>Turkiye</v>
      </c>
      <c r="F417" s="16" t="str">
        <f>IFERROR(__xludf.DUMMYFUNCTION("""COMPUTED_VALUE"""),"RoyalCert")</f>
        <v>RoyalCert</v>
      </c>
    </row>
    <row r="418">
      <c r="A418" s="14" t="str">
        <f>IFERROR(__xludf.DUMMYFUNCTION("""COMPUTED_VALUE"""),"Mariya ŞENTÜRK")</f>
        <v>Mariya ŞENTÜRK</v>
      </c>
      <c r="B418" s="14" t="str">
        <f>IFERROR(__xludf.DUMMYFUNCTION("""COMPUTED_VALUE"""),"2025-AT-C390")</f>
        <v>2025-AT-C390</v>
      </c>
      <c r="C418" s="17">
        <f>IFERROR(__xludf.DUMMYFUNCTION("""COMPUTED_VALUE"""),45742.0)</f>
        <v>45742</v>
      </c>
      <c r="D418" s="14" t="str">
        <f>IFERROR(__xludf.DUMMYFUNCTION("""COMPUTED_VALUE"""),"H")</f>
        <v>H</v>
      </c>
      <c r="E418" s="14" t="str">
        <f>IFERROR(__xludf.DUMMYFUNCTION("""COMPUTED_VALUE"""),"Turkiye")</f>
        <v>Turkiye</v>
      </c>
      <c r="F418" s="16" t="str">
        <f>IFERROR(__xludf.DUMMYFUNCTION("""COMPUTED_VALUE"""),"TSE Global")</f>
        <v>TSE Global</v>
      </c>
    </row>
    <row r="419">
      <c r="A419" s="14" t="str">
        <f>IFERROR(__xludf.DUMMYFUNCTION("""COMPUTED_VALUE"""),"Gamze Dağdaş")</f>
        <v>Gamze Dağdaş</v>
      </c>
      <c r="B419" s="14" t="str">
        <f>IFERROR(__xludf.DUMMYFUNCTION("""COMPUTED_VALUE"""),"2025-AT-C391")</f>
        <v>2025-AT-C391</v>
      </c>
      <c r="C419" s="17">
        <f>IFERROR(__xludf.DUMMYFUNCTION("""COMPUTED_VALUE"""),45742.0)</f>
        <v>45742</v>
      </c>
      <c r="D419" s="14" t="str">
        <f>IFERROR(__xludf.DUMMYFUNCTION("""COMPUTED_VALUE"""),"H")</f>
        <v>H</v>
      </c>
      <c r="E419" s="14" t="str">
        <f>IFERROR(__xludf.DUMMYFUNCTION("""COMPUTED_VALUE"""),"Turkiye")</f>
        <v>Turkiye</v>
      </c>
      <c r="F419" s="16" t="str">
        <f>IFERROR(__xludf.DUMMYFUNCTION("""COMPUTED_VALUE"""),"TSE Global")</f>
        <v>TSE Global</v>
      </c>
    </row>
    <row r="420">
      <c r="A420" s="14" t="str">
        <f>IFERROR(__xludf.DUMMYFUNCTION("""COMPUTED_VALUE"""),"Ömer Karayılan")</f>
        <v>Ömer Karayılan</v>
      </c>
      <c r="B420" s="14" t="str">
        <f>IFERROR(__xludf.DUMMYFUNCTION("""COMPUTED_VALUE"""),"2025-AT-C392")</f>
        <v>2025-AT-C392</v>
      </c>
      <c r="C420" s="17">
        <f>IFERROR(__xludf.DUMMYFUNCTION("""COMPUTED_VALUE"""),45747.0)</f>
        <v>45747</v>
      </c>
      <c r="D420" s="14" t="str">
        <f>IFERROR(__xludf.DUMMYFUNCTION("""COMPUTED_VALUE"""),"H")</f>
        <v>H</v>
      </c>
      <c r="E420" s="14" t="str">
        <f>IFERROR(__xludf.DUMMYFUNCTION("""COMPUTED_VALUE"""),"Turkiye")</f>
        <v>Turkiye</v>
      </c>
      <c r="F420" s="16" t="str">
        <f>IFERROR(__xludf.DUMMYFUNCTION("""COMPUTED_VALUE"""),"ISOQAR (SİDE ÇEVRE MÜHENDİSLİKDANIŞMANLIK OTEL EKİPMANLARI ENERJİ SANAYİ TURİZM TİCARET LTD. ŞTİ.)")</f>
        <v>ISOQAR (SİDE ÇEVRE MÜHENDİSLİKDANIŞMANLIK OTEL EKİPMANLARI ENERJİ SANAYİ TURİZM TİCARET LTD. ŞTİ.)</v>
      </c>
    </row>
    <row r="421">
      <c r="A421" s="14" t="str">
        <f>IFERROR(__xludf.DUMMYFUNCTION("""COMPUTED_VALUE"""),"Emilia Prodea")</f>
        <v>Emilia Prodea</v>
      </c>
      <c r="B421" s="14" t="str">
        <f>IFERROR(__xludf.DUMMYFUNCTION("""COMPUTED_VALUE"""),"2025-AT-C393")</f>
        <v>2025-AT-C393</v>
      </c>
      <c r="C421" s="17">
        <f>IFERROR(__xludf.DUMMYFUNCTION("""COMPUTED_VALUE"""),45747.0)</f>
        <v>45747</v>
      </c>
      <c r="D421" s="14" t="str">
        <f>IFERROR(__xludf.DUMMYFUNCTION("""COMPUTED_VALUE"""),"H")</f>
        <v>H</v>
      </c>
      <c r="E421" s="14" t="str">
        <f>IFERROR(__xludf.DUMMYFUNCTION("""COMPUTED_VALUE"""),"Romania")</f>
        <v>Romania</v>
      </c>
      <c r="F421" s="16" t="str">
        <f>IFERROR(__xludf.DUMMYFUNCTION("""COMPUTED_VALUE"""),"Hostelling International")</f>
        <v>Hostelling International</v>
      </c>
    </row>
    <row r="422">
      <c r="A422" s="14" t="str">
        <f>IFERROR(__xludf.DUMMYFUNCTION("""COMPUTED_VALUE"""),"Sally (Heeyun) Shin")</f>
        <v>Sally (Heeyun) Shin</v>
      </c>
      <c r="B422" s="14" t="str">
        <f>IFERROR(__xludf.DUMMYFUNCTION("""COMPUTED_VALUE"""),"2025-AT-C394")</f>
        <v>2025-AT-C394</v>
      </c>
      <c r="C422" s="17">
        <f>IFERROR(__xludf.DUMMYFUNCTION("""COMPUTED_VALUE"""),45749.0)</f>
        <v>45749</v>
      </c>
      <c r="D422" s="14" t="str">
        <f>IFERROR(__xludf.DUMMYFUNCTION("""COMPUTED_VALUE"""),"H")</f>
        <v>H</v>
      </c>
      <c r="E422" s="14" t="str">
        <f>IFERROR(__xludf.DUMMYFUNCTION("""COMPUTED_VALUE"""),"Republic of Korea")</f>
        <v>Republic of Korea</v>
      </c>
      <c r="F422" s="16" t="str">
        <f>IFERROR(__xludf.DUMMYFUNCTION("""COMPUTED_VALUE"""),"Control Union Certification (Korea)")</f>
        <v>Control Union Certification (Korea)</v>
      </c>
    </row>
    <row r="423">
      <c r="A423" s="14" t="str">
        <f>IFERROR(__xludf.DUMMYFUNCTION("""COMPUTED_VALUE"""),"Özge Akcasu")</f>
        <v>Özge Akcasu</v>
      </c>
      <c r="B423" s="14" t="str">
        <f>IFERROR(__xludf.DUMMYFUNCTION("""COMPUTED_VALUE"""),"2025-AT-C395")</f>
        <v>2025-AT-C395</v>
      </c>
      <c r="C423" s="17">
        <f>IFERROR(__xludf.DUMMYFUNCTION("""COMPUTED_VALUE"""),45749.0)</f>
        <v>45749</v>
      </c>
      <c r="D423" s="14" t="str">
        <f>IFERROR(__xludf.DUMMYFUNCTION("""COMPUTED_VALUE"""),"H")</f>
        <v>H</v>
      </c>
      <c r="E423" s="14" t="str">
        <f>IFERROR(__xludf.DUMMYFUNCTION("""COMPUTED_VALUE"""),"Turkiye")</f>
        <v>Turkiye</v>
      </c>
      <c r="F423" s="16" t="str">
        <f>IFERROR(__xludf.DUMMYFUNCTION("""COMPUTED_VALUE"""),"not specified")</f>
        <v>not specified</v>
      </c>
    </row>
    <row r="424">
      <c r="A424" s="14" t="str">
        <f>IFERROR(__xludf.DUMMYFUNCTION("""COMPUTED_VALUE"""),"CENK NAZLI")</f>
        <v>CENK NAZLI</v>
      </c>
      <c r="B424" s="14" t="str">
        <f>IFERROR(__xludf.DUMMYFUNCTION("""COMPUTED_VALUE"""),"2025-AT-C396")</f>
        <v>2025-AT-C396</v>
      </c>
      <c r="C424" s="17">
        <f>IFERROR(__xludf.DUMMYFUNCTION("""COMPUTED_VALUE"""),45755.0)</f>
        <v>45755</v>
      </c>
      <c r="D424" s="14" t="str">
        <f>IFERROR(__xludf.DUMMYFUNCTION("""COMPUTED_VALUE"""),"H")</f>
        <v>H</v>
      </c>
      <c r="E424" s="14" t="str">
        <f>IFERROR(__xludf.DUMMYFUNCTION("""COMPUTED_VALUE"""),"Turkiye")</f>
        <v>Turkiye</v>
      </c>
      <c r="F424" s="16" t="str">
        <f>IFERROR(__xludf.DUMMYFUNCTION("""COMPUTED_VALUE"""),"Royalcert")</f>
        <v>Royalcert</v>
      </c>
    </row>
    <row r="425">
      <c r="A425" s="14" t="str">
        <f>IFERROR(__xludf.DUMMYFUNCTION("""COMPUTED_VALUE"""),"Muhammad Khurram Babar Manzoor")</f>
        <v>Muhammad Khurram Babar Manzoor</v>
      </c>
      <c r="B425" s="14" t="str">
        <f>IFERROR(__xludf.DUMMYFUNCTION("""COMPUTED_VALUE"""),"2025-AT-C397")</f>
        <v>2025-AT-C397</v>
      </c>
      <c r="C425" s="17">
        <f>IFERROR(__xludf.DUMMYFUNCTION("""COMPUTED_VALUE"""),45756.0)</f>
        <v>45756</v>
      </c>
      <c r="D425" s="14" t="str">
        <f>IFERROR(__xludf.DUMMYFUNCTION("""COMPUTED_VALUE"""),"H")</f>
        <v>H</v>
      </c>
      <c r="E425" s="14" t="str">
        <f>IFERROR(__xludf.DUMMYFUNCTION("""COMPUTED_VALUE"""),"Bahrain")</f>
        <v>Bahrain</v>
      </c>
      <c r="F425" s="16" t="str">
        <f>IFERROR(__xludf.DUMMYFUNCTION("""COMPUTED_VALUE"""),"RoyalCert International Registrars (Arabia Region)")</f>
        <v>RoyalCert International Registrars (Arabia Region)</v>
      </c>
    </row>
    <row r="426">
      <c r="A426" s="14" t="str">
        <f>IFERROR(__xludf.DUMMYFUNCTION("""COMPUTED_VALUE"""),"Qian Wenlai")</f>
        <v>Qian Wenlai</v>
      </c>
      <c r="B426" s="14" t="str">
        <f>IFERROR(__xludf.DUMMYFUNCTION("""COMPUTED_VALUE"""),"2025-AT-C398")</f>
        <v>2025-AT-C398</v>
      </c>
      <c r="C426" s="17">
        <f>IFERROR(__xludf.DUMMYFUNCTION("""COMPUTED_VALUE"""),45755.0)</f>
        <v>45755</v>
      </c>
      <c r="D426" s="14" t="str">
        <f>IFERROR(__xludf.DUMMYFUNCTION("""COMPUTED_VALUE"""),"TO")</f>
        <v>TO</v>
      </c>
      <c r="E426" s="14" t="str">
        <f>IFERROR(__xludf.DUMMYFUNCTION("""COMPUTED_VALUE"""),"China")</f>
        <v>China</v>
      </c>
      <c r="F426" s="16" t="str">
        <f>IFERROR(__xludf.DUMMYFUNCTION("""COMPUTED_VALUE"""),"Control Union Certification (Shanghai)")</f>
        <v>Control Union Certification (Shanghai)</v>
      </c>
    </row>
    <row r="427">
      <c r="A427" s="14" t="str">
        <f>IFERROR(__xludf.DUMMYFUNCTION("""COMPUTED_VALUE"""),"Francesca Demattè")</f>
        <v>Francesca Demattè</v>
      </c>
      <c r="B427" s="14" t="str">
        <f>IFERROR(__xludf.DUMMYFUNCTION("""COMPUTED_VALUE"""),"2025-AT-C399")</f>
        <v>2025-AT-C399</v>
      </c>
      <c r="C427" s="17">
        <f>IFERROR(__xludf.DUMMYFUNCTION("""COMPUTED_VALUE"""),45755.0)</f>
        <v>45755</v>
      </c>
      <c r="D427" s="14" t="str">
        <f>IFERROR(__xludf.DUMMYFUNCTION("""COMPUTED_VALUE"""),"TO")</f>
        <v>TO</v>
      </c>
      <c r="E427" s="14" t="str">
        <f>IFERROR(__xludf.DUMMYFUNCTION("""COMPUTED_VALUE"""),"Italy")</f>
        <v>Italy</v>
      </c>
      <c r="F427" s="16"/>
    </row>
    <row r="428">
      <c r="A428" s="14" t="str">
        <f>IFERROR(__xludf.DUMMYFUNCTION("""COMPUTED_VALUE"""),"Ziya Keskin")</f>
        <v>Ziya Keskin</v>
      </c>
      <c r="B428" s="14" t="str">
        <f>IFERROR(__xludf.DUMMYFUNCTION("""COMPUTED_VALUE"""),"2025-AT-C400")</f>
        <v>2025-AT-C400</v>
      </c>
      <c r="C428" s="17"/>
      <c r="D428" s="14" t="str">
        <f>IFERROR(__xludf.DUMMYFUNCTION("""COMPUTED_VALUE"""),"H")</f>
        <v>H</v>
      </c>
      <c r="E428" s="14" t="str">
        <f>IFERROR(__xludf.DUMMYFUNCTION("""COMPUTED_VALUE"""),"Turkiye")</f>
        <v>Turkiye</v>
      </c>
      <c r="F428" s="16" t="str">
        <f>IFERROR(__xludf.DUMMYFUNCTION("""COMPUTED_VALUE"""),"RoyalCert")</f>
        <v>RoyalCert</v>
      </c>
    </row>
    <row r="429">
      <c r="A429" s="14" t="str">
        <f>IFERROR(__xludf.DUMMYFUNCTION("""COMPUTED_VALUE"""),"David Ortegon Martinez")</f>
        <v>David Ortegon Martinez</v>
      </c>
      <c r="B429" s="14" t="str">
        <f>IFERROR(__xludf.DUMMYFUNCTION("""COMPUTED_VALUE"""),"2025-AT-C401")</f>
        <v>2025-AT-C401</v>
      </c>
      <c r="C429" s="17">
        <f>IFERROR(__xludf.DUMMYFUNCTION("""COMPUTED_VALUE"""),45763.0)</f>
        <v>45763</v>
      </c>
      <c r="D429" s="14" t="str">
        <f>IFERROR(__xludf.DUMMYFUNCTION("""COMPUTED_VALUE"""),"TO")</f>
        <v>TO</v>
      </c>
      <c r="E429" s="14" t="str">
        <f>IFERROR(__xludf.DUMMYFUNCTION("""COMPUTED_VALUE"""),"Mexico")</f>
        <v>Mexico</v>
      </c>
      <c r="F429" s="16" t="str">
        <f>IFERROR(__xludf.DUMMYFUNCTION("""COMPUTED_VALUE"""),"Travelife")</f>
        <v>Travelife</v>
      </c>
    </row>
    <row r="430">
      <c r="A430" s="14" t="str">
        <f>IFERROR(__xludf.DUMMYFUNCTION("""COMPUTED_VALUE"""),"Lamia Çiçek")</f>
        <v>Lamia Çiçek</v>
      </c>
      <c r="B430" s="14" t="str">
        <f>IFERROR(__xludf.DUMMYFUNCTION("""COMPUTED_VALUE"""),"2025-AT-C402")</f>
        <v>2025-AT-C402</v>
      </c>
      <c r="C430" s="17">
        <f>IFERROR(__xludf.DUMMYFUNCTION("""COMPUTED_VALUE"""),45769.0)</f>
        <v>45769</v>
      </c>
      <c r="D430" s="14" t="str">
        <f>IFERROR(__xludf.DUMMYFUNCTION("""COMPUTED_VALUE"""),"TO")</f>
        <v>TO</v>
      </c>
      <c r="E430" s="14" t="str">
        <f>IFERROR(__xludf.DUMMYFUNCTION("""COMPUTED_VALUE"""),"Turkiye")</f>
        <v>Turkiye</v>
      </c>
      <c r="F430" s="16" t="str">
        <f>IFERROR(__xludf.DUMMYFUNCTION("""COMPUTED_VALUE"""),"Alberk QA Technic")</f>
        <v>Alberk QA Technic</v>
      </c>
    </row>
    <row r="431">
      <c r="A431" s="14" t="str">
        <f>IFERROR(__xludf.DUMMYFUNCTION("""COMPUTED_VALUE"""),"Vincent Ng Cheng Leng")</f>
        <v>Vincent Ng Cheng Leng</v>
      </c>
      <c r="B431" s="14" t="str">
        <f>IFERROR(__xludf.DUMMYFUNCTION("""COMPUTED_VALUE"""),"2025-AT-C403")</f>
        <v>2025-AT-C403</v>
      </c>
      <c r="C431" s="17">
        <f>IFERROR(__xludf.DUMMYFUNCTION("""COMPUTED_VALUE"""),45769.0)</f>
        <v>45769</v>
      </c>
      <c r="D431" s="14" t="str">
        <f>IFERROR(__xludf.DUMMYFUNCTION("""COMPUTED_VALUE"""),"TO")</f>
        <v>TO</v>
      </c>
      <c r="E431" s="14" t="str">
        <f>IFERROR(__xludf.DUMMYFUNCTION("""COMPUTED_VALUE"""),"Malaysia")</f>
        <v>Malaysia</v>
      </c>
      <c r="F431" s="16" t="str">
        <f>IFERROR(__xludf.DUMMYFUNCTION("""COMPUTED_VALUE"""),"Mind Mingle Mentor Services")</f>
        <v>Mind Mingle Mentor Services</v>
      </c>
    </row>
    <row r="432">
      <c r="A432" s="14" t="str">
        <f>IFERROR(__xludf.DUMMYFUNCTION("""COMPUTED_VALUE"""),"Chen Min")</f>
        <v>Chen Min</v>
      </c>
      <c r="B432" s="14" t="str">
        <f>IFERROR(__xludf.DUMMYFUNCTION("""COMPUTED_VALUE"""),"2025-AT-C404")</f>
        <v>2025-AT-C404</v>
      </c>
      <c r="C432" s="17">
        <f>IFERROR(__xludf.DUMMYFUNCTION("""COMPUTED_VALUE"""),45769.0)</f>
        <v>45769</v>
      </c>
      <c r="D432" s="14" t="str">
        <f>IFERROR(__xludf.DUMMYFUNCTION("""COMPUTED_VALUE"""),"TO")</f>
        <v>TO</v>
      </c>
      <c r="E432" s="14" t="str">
        <f>IFERROR(__xludf.DUMMYFUNCTION("""COMPUTED_VALUE"""),"China")</f>
        <v>China</v>
      </c>
      <c r="F432" s="16" t="str">
        <f>IFERROR(__xludf.DUMMYFUNCTION("""COMPUTED_VALUE"""),"Vireo Asia-Pacific")</f>
        <v>Vireo Asia-Pacific</v>
      </c>
    </row>
    <row r="433">
      <c r="A433" s="14" t="str">
        <f>IFERROR(__xludf.DUMMYFUNCTION("""COMPUTED_VALUE"""),"HAKAN KILIÇARSLAN")</f>
        <v>HAKAN KILIÇARSLAN</v>
      </c>
      <c r="B433" s="14" t="str">
        <f>IFERROR(__xludf.DUMMYFUNCTION("""COMPUTED_VALUE"""),"2025-AT-C405")</f>
        <v>2025-AT-C405</v>
      </c>
      <c r="C433" s="17">
        <f>IFERROR(__xludf.DUMMYFUNCTION("""COMPUTED_VALUE"""),45769.0)</f>
        <v>45769</v>
      </c>
      <c r="D433" s="14" t="str">
        <f>IFERROR(__xludf.DUMMYFUNCTION("""COMPUTED_VALUE"""),"H")</f>
        <v>H</v>
      </c>
      <c r="E433" s="14" t="str">
        <f>IFERROR(__xludf.DUMMYFUNCTION("""COMPUTED_VALUE"""),"Turkiye")</f>
        <v>Turkiye</v>
      </c>
      <c r="F433" s="16" t="str">
        <f>IFERROR(__xludf.DUMMYFUNCTION("""COMPUTED_VALUE"""),"Royalcert (Royal QMS Mühendislik Gıda Turizm Danışmanlık San ve Tic. Ltd. Şti.)")</f>
        <v>Royalcert (Royal QMS Mühendislik Gıda Turizm Danışmanlık San ve Tic. Ltd. Şti.)</v>
      </c>
    </row>
    <row r="434">
      <c r="A434" s="14" t="str">
        <f>IFERROR(__xludf.DUMMYFUNCTION("""COMPUTED_VALUE"""),"ÜMİT METİN")</f>
        <v>ÜMİT METİN</v>
      </c>
      <c r="B434" s="14" t="str">
        <f>IFERROR(__xludf.DUMMYFUNCTION("""COMPUTED_VALUE"""),"2025-AT-C406")</f>
        <v>2025-AT-C406</v>
      </c>
      <c r="C434" s="17">
        <f>IFERROR(__xludf.DUMMYFUNCTION("""COMPUTED_VALUE"""),45769.0)</f>
        <v>45769</v>
      </c>
      <c r="D434" s="14" t="str">
        <f>IFERROR(__xludf.DUMMYFUNCTION("""COMPUTED_VALUE"""),"H")</f>
        <v>H</v>
      </c>
      <c r="E434" s="14" t="str">
        <f>IFERROR(__xludf.DUMMYFUNCTION("""COMPUTED_VALUE"""),"Turkiye")</f>
        <v>Turkiye</v>
      </c>
      <c r="F434" s="16" t="str">
        <f>IFERROR(__xludf.DUMMYFUNCTION("""COMPUTED_VALUE"""),"MANAVGAT ANALİZ MÜH.TUR.TİC.LTD.ŞTİ.")</f>
        <v>MANAVGAT ANALİZ MÜH.TUR.TİC.LTD.ŞTİ.</v>
      </c>
    </row>
    <row r="435">
      <c r="A435" s="14" t="str">
        <f>IFERROR(__xludf.DUMMYFUNCTION("""COMPUTED_VALUE"""),"Serdar Gider")</f>
        <v>Serdar Gider</v>
      </c>
      <c r="B435" s="14" t="str">
        <f>IFERROR(__xludf.DUMMYFUNCTION("""COMPUTED_VALUE"""),"2025-AT-C407")</f>
        <v>2025-AT-C407</v>
      </c>
      <c r="C435" s="17">
        <f>IFERROR(__xludf.DUMMYFUNCTION("""COMPUTED_VALUE"""),45770.0)</f>
        <v>45770</v>
      </c>
      <c r="D435" s="14" t="str">
        <f>IFERROR(__xludf.DUMMYFUNCTION("""COMPUTED_VALUE"""),"H")</f>
        <v>H</v>
      </c>
      <c r="E435" s="14" t="str">
        <f>IFERROR(__xludf.DUMMYFUNCTION("""COMPUTED_VALUE"""),"Turkiye")</f>
        <v>Turkiye</v>
      </c>
      <c r="F435" s="16" t="str">
        <f>IFERROR(__xludf.DUMMYFUNCTION("""COMPUTED_VALUE"""),"EPAS PROFIL LTD STI")</f>
        <v>EPAS PROFIL LTD STI</v>
      </c>
    </row>
    <row r="436">
      <c r="A436" s="14" t="str">
        <f>IFERROR(__xludf.DUMMYFUNCTION("""COMPUTED_VALUE"""),"Gökhan Alkan")</f>
        <v>Gökhan Alkan</v>
      </c>
      <c r="B436" s="14" t="str">
        <f>IFERROR(__xludf.DUMMYFUNCTION("""COMPUTED_VALUE"""),"2025-AT-C408")</f>
        <v>2025-AT-C408</v>
      </c>
      <c r="C436" s="17">
        <f>IFERROR(__xludf.DUMMYFUNCTION("""COMPUTED_VALUE"""),45790.0)</f>
        <v>45790</v>
      </c>
      <c r="D436" s="14" t="str">
        <f>IFERROR(__xludf.DUMMYFUNCTION("""COMPUTED_VALUE"""),"H")</f>
        <v>H</v>
      </c>
      <c r="E436" s="14" t="str">
        <f>IFERROR(__xludf.DUMMYFUNCTION("""COMPUTED_VALUE"""),"Turkiye")</f>
        <v>Turkiye</v>
      </c>
      <c r="F436" s="16" t="str">
        <f>IFERROR(__xludf.DUMMYFUNCTION("""COMPUTED_VALUE"""),"TRB")</f>
        <v>TRB</v>
      </c>
    </row>
    <row r="437">
      <c r="A437" s="14" t="str">
        <f>IFERROR(__xludf.DUMMYFUNCTION("""COMPUTED_VALUE"""),"Ömer Osman Yıldız")</f>
        <v>Ömer Osman Yıldız</v>
      </c>
      <c r="B437" s="14" t="str">
        <f>IFERROR(__xludf.DUMMYFUNCTION("""COMPUTED_VALUE"""),"2025-AT-C409")</f>
        <v>2025-AT-C409</v>
      </c>
      <c r="C437" s="17">
        <f>IFERROR(__xludf.DUMMYFUNCTION("""COMPUTED_VALUE"""),45769.0)</f>
        <v>45769</v>
      </c>
      <c r="D437" s="14" t="str">
        <f>IFERROR(__xludf.DUMMYFUNCTION("""COMPUTED_VALUE"""),"H")</f>
        <v>H</v>
      </c>
      <c r="E437" s="14" t="str">
        <f>IFERROR(__xludf.DUMMYFUNCTION("""COMPUTED_VALUE"""),"Turkiye")</f>
        <v>Turkiye</v>
      </c>
      <c r="F437" s="16" t="str">
        <f>IFERROR(__xludf.DUMMYFUNCTION("""COMPUTED_VALUE"""),"TRB")</f>
        <v>TRB</v>
      </c>
    </row>
    <row r="438">
      <c r="A438" s="14" t="str">
        <f>IFERROR(__xludf.DUMMYFUNCTION("""COMPUTED_VALUE"""),"Adil Nazir")</f>
        <v>Adil Nazir</v>
      </c>
      <c r="B438" s="14" t="str">
        <f>IFERROR(__xludf.DUMMYFUNCTION("""COMPUTED_VALUE"""),"2025-AT-C410")</f>
        <v>2025-AT-C410</v>
      </c>
      <c r="C438" s="17">
        <f>IFERROR(__xludf.DUMMYFUNCTION("""COMPUTED_VALUE"""),45776.0)</f>
        <v>45776</v>
      </c>
      <c r="D438" s="14" t="str">
        <f>IFERROR(__xludf.DUMMYFUNCTION("""COMPUTED_VALUE"""),"H")</f>
        <v>H</v>
      </c>
      <c r="E438" s="14" t="str">
        <f>IFERROR(__xludf.DUMMYFUNCTION("""COMPUTED_VALUE"""),"Bahrain")</f>
        <v>Bahrain</v>
      </c>
      <c r="F438" s="16" t="str">
        <f>IFERROR(__xludf.DUMMYFUNCTION("""COMPUTED_VALUE"""),"RoyalCert International Registrars (Arabia Region)")</f>
        <v>RoyalCert International Registrars (Arabia Region)</v>
      </c>
    </row>
    <row r="439">
      <c r="A439" s="14" t="str">
        <f>IFERROR(__xludf.DUMMYFUNCTION("""COMPUTED_VALUE"""),"Chen Min")</f>
        <v>Chen Min</v>
      </c>
      <c r="B439" s="14" t="str">
        <f>IFERROR(__xludf.DUMMYFUNCTION("""COMPUTED_VALUE"""),"2025-AT-C411")</f>
        <v>2025-AT-C411</v>
      </c>
      <c r="C439" s="17">
        <f>IFERROR(__xludf.DUMMYFUNCTION("""COMPUTED_VALUE"""),45769.0)</f>
        <v>45769</v>
      </c>
      <c r="D439" s="14" t="str">
        <f>IFERROR(__xludf.DUMMYFUNCTION("""COMPUTED_VALUE"""),"H")</f>
        <v>H</v>
      </c>
      <c r="E439" s="14" t="str">
        <f>IFERROR(__xludf.DUMMYFUNCTION("""COMPUTED_VALUE"""),"China")</f>
        <v>China</v>
      </c>
      <c r="F439" s="16" t="str">
        <f>IFERROR(__xludf.DUMMYFUNCTION("""COMPUTED_VALUE"""),"Vireo Asia-Pacific")</f>
        <v>Vireo Asia-Pacific</v>
      </c>
    </row>
    <row r="440">
      <c r="A440" s="14" t="str">
        <f>IFERROR(__xludf.DUMMYFUNCTION("""COMPUTED_VALUE"""),"Bilgehan Yağbasan")</f>
        <v>Bilgehan Yağbasan</v>
      </c>
      <c r="B440" s="14" t="str">
        <f>IFERROR(__xludf.DUMMYFUNCTION("""COMPUTED_VALUE"""),"2025-AT-C412")</f>
        <v>2025-AT-C412</v>
      </c>
      <c r="C440" s="17">
        <f>IFERROR(__xludf.DUMMYFUNCTION("""COMPUTED_VALUE"""),45769.0)</f>
        <v>45769</v>
      </c>
      <c r="D440" s="14" t="str">
        <f>IFERROR(__xludf.DUMMYFUNCTION("""COMPUTED_VALUE"""),"H")</f>
        <v>H</v>
      </c>
      <c r="E440" s="14" t="str">
        <f>IFERROR(__xludf.DUMMYFUNCTION("""COMPUTED_VALUE"""),"Turkiye")</f>
        <v>Turkiye</v>
      </c>
      <c r="F440" s="16" t="str">
        <f>IFERROR(__xludf.DUMMYFUNCTION("""COMPUTED_VALUE"""),"ISOQAR Turkey")</f>
        <v>ISOQAR Turkey</v>
      </c>
    </row>
    <row r="441">
      <c r="A441" s="14" t="str">
        <f>IFERROR(__xludf.DUMMYFUNCTION("""COMPUTED_VALUE"""),"Rong Fu")</f>
        <v>Rong Fu</v>
      </c>
      <c r="B441" s="14" t="str">
        <f>IFERROR(__xludf.DUMMYFUNCTION("""COMPUTED_VALUE"""),"2025-AT-C413")</f>
        <v>2025-AT-C413</v>
      </c>
      <c r="C441" s="17">
        <f>IFERROR(__xludf.DUMMYFUNCTION("""COMPUTED_VALUE"""),45769.0)</f>
        <v>45769</v>
      </c>
      <c r="D441" s="14" t="str">
        <f>IFERROR(__xludf.DUMMYFUNCTION("""COMPUTED_VALUE"""),"H")</f>
        <v>H</v>
      </c>
      <c r="E441" s="14" t="str">
        <f>IFERROR(__xludf.DUMMYFUNCTION("""COMPUTED_VALUE"""),"China")</f>
        <v>China</v>
      </c>
      <c r="F441" s="16" t="str">
        <f>IFERROR(__xludf.DUMMYFUNCTION("""COMPUTED_VALUE"""),"TÜV Rheinland (Guangdong) Ltd.,")</f>
        <v>TÜV Rheinland (Guangdong) Ltd.,</v>
      </c>
    </row>
    <row r="442">
      <c r="A442" s="14" t="str">
        <f>IFERROR(__xludf.DUMMYFUNCTION("""COMPUTED_VALUE"""),"ŞEYDA OTLUOĞLU KUYUMCU")</f>
        <v>ŞEYDA OTLUOĞLU KUYUMCU</v>
      </c>
      <c r="B442" s="14" t="str">
        <f>IFERROR(__xludf.DUMMYFUNCTION("""COMPUTED_VALUE"""),"2025-AT-C414")</f>
        <v>2025-AT-C414</v>
      </c>
      <c r="C442" s="17">
        <f>IFERROR(__xludf.DUMMYFUNCTION("""COMPUTED_VALUE"""),45776.0)</f>
        <v>45776</v>
      </c>
      <c r="D442" s="14" t="str">
        <f>IFERROR(__xludf.DUMMYFUNCTION("""COMPUTED_VALUE"""),"TO")</f>
        <v>TO</v>
      </c>
      <c r="E442" s="14" t="str">
        <f>IFERROR(__xludf.DUMMYFUNCTION("""COMPUTED_VALUE"""),"Turkiye")</f>
        <v>Turkiye</v>
      </c>
      <c r="F442" s="16" t="str">
        <f>IFERROR(__xludf.DUMMYFUNCTION("""COMPUTED_VALUE"""),"TUV Austria Turk (ETİK MÜHENDİSLİK EĞİTİM &amp; DANIŞMANLIK)")</f>
        <v>TUV Austria Turk (ETİK MÜHENDİSLİK EĞİTİM &amp; DANIŞMANLIK)</v>
      </c>
    </row>
    <row r="443">
      <c r="A443" s="14" t="str">
        <f>IFERROR(__xludf.DUMMYFUNCTION("""COMPUTED_VALUE"""),"TÜRKAN GEZER")</f>
        <v>TÜRKAN GEZER</v>
      </c>
      <c r="B443" s="14" t="str">
        <f>IFERROR(__xludf.DUMMYFUNCTION("""COMPUTED_VALUE"""),"2025-AT-C415")</f>
        <v>2025-AT-C415</v>
      </c>
      <c r="C443" s="17">
        <f>IFERROR(__xludf.DUMMYFUNCTION("""COMPUTED_VALUE"""),45776.0)</f>
        <v>45776</v>
      </c>
      <c r="D443" s="14" t="str">
        <f>IFERROR(__xludf.DUMMYFUNCTION("""COMPUTED_VALUE"""),"TO")</f>
        <v>TO</v>
      </c>
      <c r="E443" s="14" t="str">
        <f>IFERROR(__xludf.DUMMYFUNCTION("""COMPUTED_VALUE"""),"Turkiye")</f>
        <v>Turkiye</v>
      </c>
      <c r="F443" s="16" t="str">
        <f>IFERROR(__xludf.DUMMYFUNCTION("""COMPUTED_VALUE"""),"Royalcert")</f>
        <v>Royalcert</v>
      </c>
    </row>
    <row r="444">
      <c r="A444" s="14" t="str">
        <f>IFERROR(__xludf.DUMMYFUNCTION("""COMPUTED_VALUE"""),"Tatsushi Yamada")</f>
        <v>Tatsushi Yamada</v>
      </c>
      <c r="B444" s="14" t="str">
        <f>IFERROR(__xludf.DUMMYFUNCTION("""COMPUTED_VALUE"""),"2025-AT-C416")</f>
        <v>2025-AT-C416</v>
      </c>
      <c r="C444" s="17">
        <f>IFERROR(__xludf.DUMMYFUNCTION("""COMPUTED_VALUE"""),45776.0)</f>
        <v>45776</v>
      </c>
      <c r="D444" s="14" t="str">
        <f>IFERROR(__xludf.DUMMYFUNCTION("""COMPUTED_VALUE"""),"TO")</f>
        <v>TO</v>
      </c>
      <c r="E444" s="14" t="str">
        <f>IFERROR(__xludf.DUMMYFUNCTION("""COMPUTED_VALUE"""),"Japan")</f>
        <v>Japan</v>
      </c>
      <c r="F444" s="16" t="str">
        <f>IFERROR(__xludf.DUMMYFUNCTION("""COMPUTED_VALUE"""),"JAL")</f>
        <v>JAL</v>
      </c>
    </row>
    <row r="445">
      <c r="A445" s="14" t="str">
        <f>IFERROR(__xludf.DUMMYFUNCTION("""COMPUTED_VALUE"""),"Hacer Taç")</f>
        <v>Hacer Taç</v>
      </c>
      <c r="B445" s="14" t="str">
        <f>IFERROR(__xludf.DUMMYFUNCTION("""COMPUTED_VALUE"""),"2025-AT-C417")</f>
        <v>2025-AT-C417</v>
      </c>
      <c r="C445" s="17">
        <f>IFERROR(__xludf.DUMMYFUNCTION("""COMPUTED_VALUE"""),45776.0)</f>
        <v>45776</v>
      </c>
      <c r="D445" s="14" t="str">
        <f>IFERROR(__xludf.DUMMYFUNCTION("""COMPUTED_VALUE"""),"TO")</f>
        <v>TO</v>
      </c>
      <c r="E445" s="14" t="str">
        <f>IFERROR(__xludf.DUMMYFUNCTION("""COMPUTED_VALUE"""),"Turkiye")</f>
        <v>Turkiye</v>
      </c>
      <c r="F445" s="16" t="str">
        <f>IFERROR(__xludf.DUMMYFUNCTION("""COMPUTED_VALUE"""),"HSC Danışmanlık")</f>
        <v>HSC Danışmanlık</v>
      </c>
    </row>
    <row r="446">
      <c r="A446" s="14" t="str">
        <f>IFERROR(__xludf.DUMMYFUNCTION("""COMPUTED_VALUE"""),"MIYANO Hiroomi")</f>
        <v>MIYANO Hiroomi</v>
      </c>
      <c r="B446" s="14" t="str">
        <f>IFERROR(__xludf.DUMMYFUNCTION("""COMPUTED_VALUE"""),"2025-AT-C418")</f>
        <v>2025-AT-C418</v>
      </c>
      <c r="C446" s="17">
        <f>IFERROR(__xludf.DUMMYFUNCTION("""COMPUTED_VALUE"""),45776.0)</f>
        <v>45776</v>
      </c>
      <c r="D446" s="14" t="str">
        <f>IFERROR(__xludf.DUMMYFUNCTION("""COMPUTED_VALUE"""),"TO")</f>
        <v>TO</v>
      </c>
      <c r="E446" s="14" t="str">
        <f>IFERROR(__xludf.DUMMYFUNCTION("""COMPUTED_VALUE"""),"Japan")</f>
        <v>Japan</v>
      </c>
      <c r="F446" s="16" t="str">
        <f>IFERROR(__xludf.DUMMYFUNCTION("""COMPUTED_VALUE"""),"JAL")</f>
        <v>JAL</v>
      </c>
    </row>
    <row r="447">
      <c r="A447" s="14" t="str">
        <f>IFERROR(__xludf.DUMMYFUNCTION("""COMPUTED_VALUE"""),"SAKASHITA Momoka")</f>
        <v>SAKASHITA Momoka</v>
      </c>
      <c r="B447" s="14" t="str">
        <f>IFERROR(__xludf.DUMMYFUNCTION("""COMPUTED_VALUE"""),"2025-AT-C419")</f>
        <v>2025-AT-C419</v>
      </c>
      <c r="C447" s="17">
        <f>IFERROR(__xludf.DUMMYFUNCTION("""COMPUTED_VALUE"""),45798.0)</f>
        <v>45798</v>
      </c>
      <c r="D447" s="14" t="str">
        <f>IFERROR(__xludf.DUMMYFUNCTION("""COMPUTED_VALUE"""),"TO")</f>
        <v>TO</v>
      </c>
      <c r="E447" s="14" t="str">
        <f>IFERROR(__xludf.DUMMYFUNCTION("""COMPUTED_VALUE"""),"Japan")</f>
        <v>Japan</v>
      </c>
      <c r="F447" s="16" t="str">
        <f>IFERROR(__xludf.DUMMYFUNCTION("""COMPUTED_VALUE"""),"JAL")</f>
        <v>JAL</v>
      </c>
    </row>
    <row r="448">
      <c r="A448" s="14" t="str">
        <f>IFERROR(__xludf.DUMMYFUNCTION("""COMPUTED_VALUE"""),"Johana Cristina Caviedes Godoy")</f>
        <v>Johana Cristina Caviedes Godoy</v>
      </c>
      <c r="B448" s="14" t="str">
        <f>IFERROR(__xludf.DUMMYFUNCTION("""COMPUTED_VALUE"""),"2025-AT-C420")</f>
        <v>2025-AT-C420</v>
      </c>
      <c r="C448" s="17">
        <f>IFERROR(__xludf.DUMMYFUNCTION("""COMPUTED_VALUE"""),45776.0)</f>
        <v>45776</v>
      </c>
      <c r="D448" s="14" t="str">
        <f>IFERROR(__xludf.DUMMYFUNCTION("""COMPUTED_VALUE"""),"TO")</f>
        <v>TO</v>
      </c>
      <c r="E448" s="14" t="str">
        <f>IFERROR(__xludf.DUMMYFUNCTION("""COMPUTED_VALUE"""),"Columbia")</f>
        <v>Columbia</v>
      </c>
      <c r="F448" s="16" t="str">
        <f>IFERROR(__xludf.DUMMYFUNCTION("""COMPUTED_VALUE"""),"Independent")</f>
        <v>Independent</v>
      </c>
    </row>
    <row r="449">
      <c r="A449" s="14" t="str">
        <f>IFERROR(__xludf.DUMMYFUNCTION("""COMPUTED_VALUE"""),"DUDU MACİT")</f>
        <v>DUDU MACİT</v>
      </c>
      <c r="B449" s="14" t="str">
        <f>IFERROR(__xludf.DUMMYFUNCTION("""COMPUTED_VALUE"""),"2025-AT-C421")</f>
        <v>2025-AT-C421</v>
      </c>
      <c r="C449" s="17">
        <f>IFERROR(__xludf.DUMMYFUNCTION("""COMPUTED_VALUE"""),45776.0)</f>
        <v>45776</v>
      </c>
      <c r="D449" s="14" t="str">
        <f>IFERROR(__xludf.DUMMYFUNCTION("""COMPUTED_VALUE"""),"H")</f>
        <v>H</v>
      </c>
      <c r="E449" s="14" t="str">
        <f>IFERROR(__xludf.DUMMYFUNCTION("""COMPUTED_VALUE"""),"Turkiye")</f>
        <v>Turkiye</v>
      </c>
      <c r="F449" s="16" t="str">
        <f>IFERROR(__xludf.DUMMYFUNCTION("""COMPUTED_VALUE"""),"Alarko Turizm/ Hillside Beach Club")</f>
        <v>Alarko Turizm/ Hillside Beach Club</v>
      </c>
    </row>
    <row r="450">
      <c r="A450" s="14" t="str">
        <f>IFERROR(__xludf.DUMMYFUNCTION("""COMPUTED_VALUE"""),"SULTAN GÜNAR")</f>
        <v>SULTAN GÜNAR</v>
      </c>
      <c r="B450" s="14" t="str">
        <f>IFERROR(__xludf.DUMMYFUNCTION("""COMPUTED_VALUE"""),"2025-AT-C422")</f>
        <v>2025-AT-C422</v>
      </c>
      <c r="C450" s="17">
        <f>IFERROR(__xludf.DUMMYFUNCTION("""COMPUTED_VALUE"""),45776.0)</f>
        <v>45776</v>
      </c>
      <c r="D450" s="14" t="str">
        <f>IFERROR(__xludf.DUMMYFUNCTION("""COMPUTED_VALUE"""),"H")</f>
        <v>H</v>
      </c>
      <c r="E450" s="14" t="str">
        <f>IFERROR(__xludf.DUMMYFUNCTION("""COMPUTED_VALUE"""),"Turkiye")</f>
        <v>Turkiye</v>
      </c>
      <c r="F450" s="16"/>
    </row>
    <row r="451">
      <c r="A451" s="14" t="str">
        <f>IFERROR(__xludf.DUMMYFUNCTION("""COMPUTED_VALUE"""),"Ryosuke Maniwa")</f>
        <v>Ryosuke Maniwa</v>
      </c>
      <c r="B451" s="14" t="str">
        <f>IFERROR(__xludf.DUMMYFUNCTION("""COMPUTED_VALUE"""),"2025-AT-C423")</f>
        <v>2025-AT-C423</v>
      </c>
      <c r="C451" s="17"/>
      <c r="D451" s="14" t="str">
        <f>IFERROR(__xludf.DUMMYFUNCTION("""COMPUTED_VALUE"""),"TO")</f>
        <v>TO</v>
      </c>
      <c r="E451" s="14" t="str">
        <f>IFERROR(__xludf.DUMMYFUNCTION("""COMPUTED_VALUE"""),"Japan")</f>
        <v>Japan</v>
      </c>
      <c r="F451" s="16" t="str">
        <f>IFERROR(__xludf.DUMMYFUNCTION("""COMPUTED_VALUE"""),"Japan Hotel Appraisal Co., Ltd.")</f>
        <v>Japan Hotel Appraisal Co., Ltd.</v>
      </c>
    </row>
    <row r="452">
      <c r="A452" s="14" t="str">
        <f>IFERROR(__xludf.DUMMYFUNCTION("""COMPUTED_VALUE"""),"Kasun Vithanage")</f>
        <v>Kasun Vithanage</v>
      </c>
      <c r="B452" s="14" t="str">
        <f>IFERROR(__xludf.DUMMYFUNCTION("""COMPUTED_VALUE"""),"2025-AT-C424")</f>
        <v>2025-AT-C424</v>
      </c>
      <c r="C452" s="17">
        <f>IFERROR(__xludf.DUMMYFUNCTION("""COMPUTED_VALUE"""),45783.0)</f>
        <v>45783</v>
      </c>
      <c r="D452" s="14" t="str">
        <f>IFERROR(__xludf.DUMMYFUNCTION("""COMPUTED_VALUE"""),"TO")</f>
        <v>TO</v>
      </c>
      <c r="E452" s="14" t="str">
        <f>IFERROR(__xludf.DUMMYFUNCTION("""COMPUTED_VALUE"""),"Sri Lanka")</f>
        <v>Sri Lanka</v>
      </c>
      <c r="F452" s="16" t="str">
        <f>IFERROR(__xludf.DUMMYFUNCTION("""COMPUTED_VALUE"""),"CU Sri Lanka")</f>
        <v>CU Sri Lanka</v>
      </c>
    </row>
    <row r="453">
      <c r="A453" s="14" t="str">
        <f>IFERROR(__xludf.DUMMYFUNCTION("""COMPUTED_VALUE"""),"Yibo Kang")</f>
        <v>Yibo Kang</v>
      </c>
      <c r="B453" s="14" t="str">
        <f>IFERROR(__xludf.DUMMYFUNCTION("""COMPUTED_VALUE"""),"2025-AT-C425")</f>
        <v>2025-AT-C425</v>
      </c>
      <c r="C453" s="17">
        <f>IFERROR(__xludf.DUMMYFUNCTION("""COMPUTED_VALUE"""),45783.0)</f>
        <v>45783</v>
      </c>
      <c r="D453" s="14" t="str">
        <f>IFERROR(__xludf.DUMMYFUNCTION("""COMPUTED_VALUE"""),"TO")</f>
        <v>TO</v>
      </c>
      <c r="E453" s="14" t="str">
        <f>IFERROR(__xludf.DUMMYFUNCTION("""COMPUTED_VALUE"""),"Japan")</f>
        <v>Japan</v>
      </c>
      <c r="F453" s="16" t="str">
        <f>IFERROR(__xludf.DUMMYFUNCTION("""COMPUTED_VALUE"""),"JTB Tourism Research &amp; Consulting Co.")</f>
        <v>JTB Tourism Research &amp; Consulting Co.</v>
      </c>
    </row>
    <row r="454">
      <c r="A454" s="14" t="str">
        <f>IFERROR(__xludf.DUMMYFUNCTION("""COMPUTED_VALUE"""),"Lokman Yunushan KEÇE")</f>
        <v>Lokman Yunushan KEÇE</v>
      </c>
      <c r="B454" s="14" t="str">
        <f>IFERROR(__xludf.DUMMYFUNCTION("""COMPUTED_VALUE"""),"2025-AT-C426")</f>
        <v>2025-AT-C426</v>
      </c>
      <c r="C454" s="17">
        <f>IFERROR(__xludf.DUMMYFUNCTION("""COMPUTED_VALUE"""),45783.0)</f>
        <v>45783</v>
      </c>
      <c r="D454" s="14" t="str">
        <f>IFERROR(__xludf.DUMMYFUNCTION("""COMPUTED_VALUE"""),"TO")</f>
        <v>TO</v>
      </c>
      <c r="E454" s="14" t="str">
        <f>IFERROR(__xludf.DUMMYFUNCTION("""COMPUTED_VALUE"""),"Turkiye")</f>
        <v>Turkiye</v>
      </c>
      <c r="F454" s="16" t="str">
        <f>IFERROR(__xludf.DUMMYFUNCTION("""COMPUTED_VALUE"""),"FQC")</f>
        <v>FQC</v>
      </c>
    </row>
    <row r="455">
      <c r="A455" s="14" t="str">
        <f>IFERROR(__xludf.DUMMYFUNCTION("""COMPUTED_VALUE"""),"Wade Lin")</f>
        <v>Wade Lin</v>
      </c>
      <c r="B455" s="14" t="str">
        <f>IFERROR(__xludf.DUMMYFUNCTION("""COMPUTED_VALUE"""),"2025-AT-C427")</f>
        <v>2025-AT-C427</v>
      </c>
      <c r="C455" s="17"/>
      <c r="D455" s="14" t="str">
        <f>IFERROR(__xludf.DUMMYFUNCTION("""COMPUTED_VALUE"""),"TO")</f>
        <v>TO</v>
      </c>
      <c r="E455" s="14" t="str">
        <f>IFERROR(__xludf.DUMMYFUNCTION("""COMPUTED_VALUE"""),"Taiwan")</f>
        <v>Taiwan</v>
      </c>
      <c r="F455" s="16" t="str">
        <f>IFERROR(__xludf.DUMMYFUNCTION("""COMPUTED_VALUE"""),"SGS Taiwan")</f>
        <v>SGS Taiwan</v>
      </c>
    </row>
    <row r="456">
      <c r="A456" s="14" t="str">
        <f>IFERROR(__xludf.DUMMYFUNCTION("""COMPUTED_VALUE"""),"Tara Hammond")</f>
        <v>Tara Hammond</v>
      </c>
      <c r="B456" s="14" t="str">
        <f>IFERROR(__xludf.DUMMYFUNCTION("""COMPUTED_VALUE"""),"2025-AT-C428")</f>
        <v>2025-AT-C428</v>
      </c>
      <c r="C456" s="17">
        <f>IFERROR(__xludf.DUMMYFUNCTION("""COMPUTED_VALUE"""),45790.0)</f>
        <v>45790</v>
      </c>
      <c r="D456" s="14" t="str">
        <f>IFERROR(__xludf.DUMMYFUNCTION("""COMPUTED_VALUE"""),"H")</f>
        <v>H</v>
      </c>
      <c r="E456" s="14" t="str">
        <f>IFERROR(__xludf.DUMMYFUNCTION("""COMPUTED_VALUE"""),"Indonesia")</f>
        <v>Indonesia</v>
      </c>
      <c r="F456" s="16" t="str">
        <f>IFERROR(__xludf.DUMMYFUNCTION("""COMPUTED_VALUE"""),"Six Senses")</f>
        <v>Six Senses</v>
      </c>
    </row>
    <row r="457">
      <c r="A457" s="14" t="str">
        <f>IFERROR(__xludf.DUMMYFUNCTION("""COMPUTED_VALUE"""),"Yin Ying Wong")</f>
        <v>Yin Ying Wong</v>
      </c>
      <c r="B457" s="14" t="str">
        <f>IFERROR(__xludf.DUMMYFUNCTION("""COMPUTED_VALUE"""),"2025-AT-C429")</f>
        <v>2025-AT-C429</v>
      </c>
      <c r="C457" s="17">
        <f>IFERROR(__xludf.DUMMYFUNCTION("""COMPUTED_VALUE"""),45783.0)</f>
        <v>45783</v>
      </c>
      <c r="D457" s="14" t="str">
        <f>IFERROR(__xludf.DUMMYFUNCTION("""COMPUTED_VALUE"""),"TO")</f>
        <v>TO</v>
      </c>
      <c r="E457" s="14" t="str">
        <f>IFERROR(__xludf.DUMMYFUNCTION("""COMPUTED_VALUE"""),"Malaysia")</f>
        <v>Malaysia</v>
      </c>
      <c r="F457" s="16" t="str">
        <f>IFERROR(__xludf.DUMMYFUNCTION("""COMPUTED_VALUE"""),"TÜV Rheinland Malaysia")</f>
        <v>TÜV Rheinland Malaysia</v>
      </c>
    </row>
    <row r="458">
      <c r="A458" s="14" t="str">
        <f>IFERROR(__xludf.DUMMYFUNCTION("""COMPUTED_VALUE"""),"Ploynita Teerathornchaiphat")</f>
        <v>Ploynita Teerathornchaiphat</v>
      </c>
      <c r="B458" s="14" t="str">
        <f>IFERROR(__xludf.DUMMYFUNCTION("""COMPUTED_VALUE"""),"2025-AT-C430")</f>
        <v>2025-AT-C430</v>
      </c>
      <c r="C458" s="17"/>
      <c r="D458" s="14" t="str">
        <f>IFERROR(__xludf.DUMMYFUNCTION("""COMPUTED_VALUE"""),"TO")</f>
        <v>TO</v>
      </c>
      <c r="E458" s="14" t="str">
        <f>IFERROR(__xludf.DUMMYFUNCTION("""COMPUTED_VALUE"""),"Thailand")</f>
        <v>Thailand</v>
      </c>
      <c r="F458" s="16" t="str">
        <f>IFERROR(__xludf.DUMMYFUNCTION("""COMPUTED_VALUE"""),"Bureau Veritas (Thailand) Ltd.")</f>
        <v>Bureau Veritas (Thailand) Ltd.</v>
      </c>
    </row>
    <row r="459">
      <c r="A459" s="14" t="str">
        <f>IFERROR(__xludf.DUMMYFUNCTION("""COMPUTED_VALUE"""),"Patrick Kuehn")</f>
        <v>Patrick Kuehn</v>
      </c>
      <c r="B459" s="14" t="str">
        <f>IFERROR(__xludf.DUMMYFUNCTION("""COMPUTED_VALUE"""),"2025-AT-C431")</f>
        <v>2025-AT-C431</v>
      </c>
      <c r="C459" s="17">
        <f>IFERROR(__xludf.DUMMYFUNCTION("""COMPUTED_VALUE"""),45778.0)</f>
        <v>45778</v>
      </c>
      <c r="D459" s="14" t="str">
        <f>IFERROR(__xludf.DUMMYFUNCTION("""COMPUTED_VALUE"""),"H")</f>
        <v>H</v>
      </c>
      <c r="E459" s="14" t="str">
        <f>IFERROR(__xludf.DUMMYFUNCTION("""COMPUTED_VALUE"""),"United Kingdom")</f>
        <v>United Kingdom</v>
      </c>
      <c r="F459" s="16" t="str">
        <f>IFERROR(__xludf.DUMMYFUNCTION("""COMPUTED_VALUE"""),"Climate Impact Partners")</f>
        <v>Climate Impact Partners</v>
      </c>
    </row>
    <row r="460">
      <c r="A460" s="14" t="str">
        <f>IFERROR(__xludf.DUMMYFUNCTION("""COMPUTED_VALUE"""),"Qian Wenlai")</f>
        <v>Qian Wenlai</v>
      </c>
      <c r="B460" s="14" t="str">
        <f>IFERROR(__xludf.DUMMYFUNCTION("""COMPUTED_VALUE"""),"2025-AT-C432")</f>
        <v>2025-AT-C432</v>
      </c>
      <c r="C460" s="17">
        <f>IFERROR(__xludf.DUMMYFUNCTION("""COMPUTED_VALUE"""),45778.0)</f>
        <v>45778</v>
      </c>
      <c r="D460" s="14" t="str">
        <f>IFERROR(__xludf.DUMMYFUNCTION("""COMPUTED_VALUE"""),"H")</f>
        <v>H</v>
      </c>
      <c r="E460" s="14" t="str">
        <f>IFERROR(__xludf.DUMMYFUNCTION("""COMPUTED_VALUE"""),"China")</f>
        <v>China</v>
      </c>
      <c r="F460" s="16" t="str">
        <f>IFERROR(__xludf.DUMMYFUNCTION("""COMPUTED_VALUE"""),"Control Union Certification (Shanghai)")</f>
        <v>Control Union Certification (Shanghai)</v>
      </c>
    </row>
    <row r="461">
      <c r="A461" s="14" t="str">
        <f>IFERROR(__xludf.DUMMYFUNCTION("""COMPUTED_VALUE"""),"Vincent Ng Cheng Leng")</f>
        <v>Vincent Ng Cheng Leng</v>
      </c>
      <c r="B461" s="14" t="str">
        <f>IFERROR(__xludf.DUMMYFUNCTION("""COMPUTED_VALUE"""),"2025-AT-C433")</f>
        <v>2025-AT-C433</v>
      </c>
      <c r="C461" s="17">
        <f>IFERROR(__xludf.DUMMYFUNCTION("""COMPUTED_VALUE"""),45778.0)</f>
        <v>45778</v>
      </c>
      <c r="D461" s="14" t="str">
        <f>IFERROR(__xludf.DUMMYFUNCTION("""COMPUTED_VALUE"""),"H")</f>
        <v>H</v>
      </c>
      <c r="E461" s="14" t="str">
        <f>IFERROR(__xludf.DUMMYFUNCTION("""COMPUTED_VALUE"""),"Malaysia")</f>
        <v>Malaysia</v>
      </c>
      <c r="F461" s="16" t="str">
        <f>IFERROR(__xludf.DUMMYFUNCTION("""COMPUTED_VALUE"""),"Mind Mingle Mentor Services")</f>
        <v>Mind Mingle Mentor Services</v>
      </c>
    </row>
    <row r="462">
      <c r="A462" s="14" t="str">
        <f>IFERROR(__xludf.DUMMYFUNCTION("""COMPUTED_VALUE"""),"Joel Tsi")</f>
        <v>Joel Tsi</v>
      </c>
      <c r="B462" s="14" t="str">
        <f>IFERROR(__xludf.DUMMYFUNCTION("""COMPUTED_VALUE"""),"2025-AT-C434")</f>
        <v>2025-AT-C434</v>
      </c>
      <c r="C462" s="17">
        <f>IFERROR(__xludf.DUMMYFUNCTION("""COMPUTED_VALUE"""),45798.0)</f>
        <v>45798</v>
      </c>
      <c r="D462" s="14" t="str">
        <f>IFERROR(__xludf.DUMMYFUNCTION("""COMPUTED_VALUE"""),"TO")</f>
        <v>TO</v>
      </c>
      <c r="E462" s="14" t="str">
        <f>IFERROR(__xludf.DUMMYFUNCTION("""COMPUTED_VALUE"""),"Singapore")</f>
        <v>Singapore</v>
      </c>
      <c r="F462" s="16" t="str">
        <f>IFERROR(__xludf.DUMMYFUNCTION("""COMPUTED_VALUE"""),"ZYT PTE LTD")</f>
        <v>ZYT PTE LTD</v>
      </c>
    </row>
    <row r="463">
      <c r="A463" s="14" t="str">
        <f>IFERROR(__xludf.DUMMYFUNCTION("""COMPUTED_VALUE"""),"onur haluk KARADENIZ")</f>
        <v>onur haluk KARADENIZ</v>
      </c>
      <c r="B463" s="14" t="str">
        <f>IFERROR(__xludf.DUMMYFUNCTION("""COMPUTED_VALUE"""),"2025-AT-C435")</f>
        <v>2025-AT-C435</v>
      </c>
      <c r="C463" s="17">
        <f>IFERROR(__xludf.DUMMYFUNCTION("""COMPUTED_VALUE"""),45778.0)</f>
        <v>45778</v>
      </c>
      <c r="D463" s="14" t="str">
        <f>IFERROR(__xludf.DUMMYFUNCTION("""COMPUTED_VALUE"""),"TO")</f>
        <v>TO</v>
      </c>
      <c r="E463" s="14" t="str">
        <f>IFERROR(__xludf.DUMMYFUNCTION("""COMPUTED_VALUE"""),"Turkiye")</f>
        <v>Turkiye</v>
      </c>
      <c r="F463" s="16" t="str">
        <f>IFERROR(__xludf.DUMMYFUNCTION("""COMPUTED_VALUE"""),"attache tours")</f>
        <v>attache tours</v>
      </c>
    </row>
    <row r="464">
      <c r="A464" s="14" t="str">
        <f>IFERROR(__xludf.DUMMYFUNCTION("""COMPUTED_VALUE"""),"TÜRKAN GEZER")</f>
        <v>TÜRKAN GEZER</v>
      </c>
      <c r="B464" s="14" t="str">
        <f>IFERROR(__xludf.DUMMYFUNCTION("""COMPUTED_VALUE"""),"2025-AT-C436")</f>
        <v>2025-AT-C436</v>
      </c>
      <c r="C464" s="17">
        <f>IFERROR(__xludf.DUMMYFUNCTION("""COMPUTED_VALUE"""),45778.0)</f>
        <v>45778</v>
      </c>
      <c r="D464" s="14" t="str">
        <f>IFERROR(__xludf.DUMMYFUNCTION("""COMPUTED_VALUE"""),"H")</f>
        <v>H</v>
      </c>
      <c r="E464" s="14" t="str">
        <f>IFERROR(__xludf.DUMMYFUNCTION("""COMPUTED_VALUE"""),"Turkiye")</f>
        <v>Turkiye</v>
      </c>
      <c r="F464" s="16" t="str">
        <f>IFERROR(__xludf.DUMMYFUNCTION("""COMPUTED_VALUE"""),"Royalcert")</f>
        <v>Royalcert</v>
      </c>
    </row>
    <row r="465">
      <c r="A465" s="14" t="str">
        <f>IFERROR(__xludf.DUMMYFUNCTION("""COMPUTED_VALUE"""),"Patrick Kuehn")</f>
        <v>Patrick Kuehn</v>
      </c>
      <c r="B465" s="14" t="str">
        <f>IFERROR(__xludf.DUMMYFUNCTION("""COMPUTED_VALUE"""),"2025-AT-C437")</f>
        <v>2025-AT-C437</v>
      </c>
      <c r="C465" s="17">
        <f>IFERROR(__xludf.DUMMYFUNCTION("""COMPUTED_VALUE"""),45778.0)</f>
        <v>45778</v>
      </c>
      <c r="D465" s="14" t="str">
        <f>IFERROR(__xludf.DUMMYFUNCTION("""COMPUTED_VALUE"""),"TO")</f>
        <v>TO</v>
      </c>
      <c r="E465" s="14" t="str">
        <f>IFERROR(__xludf.DUMMYFUNCTION("""COMPUTED_VALUE"""),"United Kingdom")</f>
        <v>United Kingdom</v>
      </c>
      <c r="F465" s="16" t="str">
        <f>IFERROR(__xludf.DUMMYFUNCTION("""COMPUTED_VALUE"""),"Climate Impact Partners")</f>
        <v>Climate Impact Partners</v>
      </c>
    </row>
    <row r="466">
      <c r="A466" s="14" t="str">
        <f>IFERROR(__xludf.DUMMYFUNCTION("""COMPUTED_VALUE"""),"Hossam Abdel Khader")</f>
        <v>Hossam Abdel Khader</v>
      </c>
      <c r="B466" s="14" t="str">
        <f>IFERROR(__xludf.DUMMYFUNCTION("""COMPUTED_VALUE"""),"2025-AT-C438")</f>
        <v>2025-AT-C438</v>
      </c>
      <c r="C466" s="17">
        <f>IFERROR(__xludf.DUMMYFUNCTION("""COMPUTED_VALUE"""),45790.0)</f>
        <v>45790</v>
      </c>
      <c r="D466" s="14" t="str">
        <f>IFERROR(__xludf.DUMMYFUNCTION("""COMPUTED_VALUE"""),"H")</f>
        <v>H</v>
      </c>
      <c r="E466" s="14" t="str">
        <f>IFERROR(__xludf.DUMMYFUNCTION("""COMPUTED_VALUE"""),"United Arab Emirates")</f>
        <v>United Arab Emirates</v>
      </c>
      <c r="F466" s="16" t="str">
        <f>IFERROR(__xludf.DUMMYFUNCTION("""COMPUTED_VALUE"""),"Intertek")</f>
        <v>Intertek</v>
      </c>
    </row>
    <row r="467">
      <c r="A467" s="14" t="str">
        <f>IFERROR(__xludf.DUMMYFUNCTION("""COMPUTED_VALUE"""),"DENİZ TİMUÇİN TİMUÇİN")</f>
        <v>DENİZ TİMUÇİN TİMUÇİN</v>
      </c>
      <c r="B467" s="14" t="str">
        <f>IFERROR(__xludf.DUMMYFUNCTION("""COMPUTED_VALUE"""),"2025-AT-C439")</f>
        <v>2025-AT-C439</v>
      </c>
      <c r="C467" s="17">
        <f>IFERROR(__xludf.DUMMYFUNCTION("""COMPUTED_VALUE"""),45790.0)</f>
        <v>45790</v>
      </c>
      <c r="D467" s="14" t="str">
        <f>IFERROR(__xludf.DUMMYFUNCTION("""COMPUTED_VALUE"""),"H")</f>
        <v>H</v>
      </c>
      <c r="E467" s="14" t="str">
        <f>IFERROR(__xludf.DUMMYFUNCTION("""COMPUTED_VALUE"""),"Turkiye")</f>
        <v>Turkiye</v>
      </c>
      <c r="F467" s="16" t="str">
        <f>IFERROR(__xludf.DUMMYFUNCTION("""COMPUTED_VALUE"""),"Royalcert")</f>
        <v>Royalcert</v>
      </c>
    </row>
    <row r="468">
      <c r="A468" s="14" t="str">
        <f>IFERROR(__xludf.DUMMYFUNCTION("""COMPUTED_VALUE"""),"ALİ İHSAN BÜYÜK")</f>
        <v>ALİ İHSAN BÜYÜK</v>
      </c>
      <c r="B468" s="14" t="str">
        <f>IFERROR(__xludf.DUMMYFUNCTION("""COMPUTED_VALUE"""),"2025-AT-C440")</f>
        <v>2025-AT-C440</v>
      </c>
      <c r="C468" s="17">
        <f>IFERROR(__xludf.DUMMYFUNCTION("""COMPUTED_VALUE"""),45790.0)</f>
        <v>45790</v>
      </c>
      <c r="D468" s="14" t="str">
        <f>IFERROR(__xludf.DUMMYFUNCTION("""COMPUTED_VALUE"""),"H")</f>
        <v>H</v>
      </c>
      <c r="E468" s="14" t="str">
        <f>IFERROR(__xludf.DUMMYFUNCTION("""COMPUTED_VALUE"""),"Turkiye")</f>
        <v>Turkiye</v>
      </c>
      <c r="F468" s="16" t="str">
        <f>IFERROR(__xludf.DUMMYFUNCTION("""COMPUTED_VALUE"""),"Royalcert")</f>
        <v>Royalcert</v>
      </c>
    </row>
    <row r="469">
      <c r="A469" s="14" t="str">
        <f>IFERROR(__xludf.DUMMYFUNCTION("""COMPUTED_VALUE"""),"İBRAHİM SULU")</f>
        <v>İBRAHİM SULU</v>
      </c>
      <c r="B469" s="14" t="str">
        <f>IFERROR(__xludf.DUMMYFUNCTION("""COMPUTED_VALUE"""),"2025-AT-C441")</f>
        <v>2025-AT-C441</v>
      </c>
      <c r="C469" s="17">
        <f>IFERROR(__xludf.DUMMYFUNCTION("""COMPUTED_VALUE"""),45790.0)</f>
        <v>45790</v>
      </c>
      <c r="D469" s="14" t="str">
        <f>IFERROR(__xludf.DUMMYFUNCTION("""COMPUTED_VALUE"""),"H")</f>
        <v>H</v>
      </c>
      <c r="E469" s="14" t="str">
        <f>IFERROR(__xludf.DUMMYFUNCTION("""COMPUTED_VALUE"""),"Turkiye")</f>
        <v>Turkiye</v>
      </c>
      <c r="F469" s="16" t="str">
        <f>IFERROR(__xludf.DUMMYFUNCTION("""COMPUTED_VALUE"""),"MANAVGAT ANALİZ MÜH.TUR.TİC.LTD.ŞTİ.")</f>
        <v>MANAVGAT ANALİZ MÜH.TUR.TİC.LTD.ŞTİ.</v>
      </c>
    </row>
    <row r="470">
      <c r="A470" s="14" t="str">
        <f>IFERROR(__xludf.DUMMYFUNCTION("""COMPUTED_VALUE"""),"Lale Becu")</f>
        <v>Lale Becu</v>
      </c>
      <c r="B470" s="14" t="str">
        <f>IFERROR(__xludf.DUMMYFUNCTION("""COMPUTED_VALUE"""),"2025-AT-C442")</f>
        <v>2025-AT-C442</v>
      </c>
      <c r="C470" s="17">
        <f>IFERROR(__xludf.DUMMYFUNCTION("""COMPUTED_VALUE"""),45783.0)</f>
        <v>45783</v>
      </c>
      <c r="D470" s="14" t="str">
        <f>IFERROR(__xludf.DUMMYFUNCTION("""COMPUTED_VALUE"""),"H")</f>
        <v>H</v>
      </c>
      <c r="E470" s="14" t="str">
        <f>IFERROR(__xludf.DUMMYFUNCTION("""COMPUTED_VALUE"""),"Turkiye")</f>
        <v>Turkiye</v>
      </c>
      <c r="F470" s="16" t="str">
        <f>IFERROR(__xludf.DUMMYFUNCTION("""COMPUTED_VALUE"""),"Norwegian Cruise Line")</f>
        <v>Norwegian Cruise Line</v>
      </c>
    </row>
    <row r="471">
      <c r="A471" s="14" t="str">
        <f>IFERROR(__xludf.DUMMYFUNCTION("""COMPUTED_VALUE"""),"ZEHRA OMAK")</f>
        <v>ZEHRA OMAK</v>
      </c>
      <c r="B471" s="14" t="str">
        <f>IFERROR(__xludf.DUMMYFUNCTION("""COMPUTED_VALUE"""),"2025-AT-C443")</f>
        <v>2025-AT-C443</v>
      </c>
      <c r="C471" s="17">
        <f>IFERROR(__xludf.DUMMYFUNCTION("""COMPUTED_VALUE"""),45783.0)</f>
        <v>45783</v>
      </c>
      <c r="D471" s="14" t="str">
        <f>IFERROR(__xludf.DUMMYFUNCTION("""COMPUTED_VALUE"""),"H")</f>
        <v>H</v>
      </c>
      <c r="E471" s="14" t="str">
        <f>IFERROR(__xludf.DUMMYFUNCTION("""COMPUTED_VALUE"""),"Turkiye")</f>
        <v>Turkiye</v>
      </c>
      <c r="F471" s="16" t="str">
        <f>IFERROR(__xludf.DUMMYFUNCTION("""COMPUTED_VALUE"""),"İsveren")</f>
        <v>İsveren</v>
      </c>
    </row>
    <row r="472">
      <c r="A472" s="14" t="str">
        <f>IFERROR(__xludf.DUMMYFUNCTION("""COMPUTED_VALUE"""),"Eyüp Cihan")</f>
        <v>Eyüp Cihan</v>
      </c>
      <c r="B472" s="14" t="str">
        <f>IFERROR(__xludf.DUMMYFUNCTION("""COMPUTED_VALUE"""),"2025-AT-C444")</f>
        <v>2025-AT-C444</v>
      </c>
      <c r="C472" s="17">
        <f>IFERROR(__xludf.DUMMYFUNCTION("""COMPUTED_VALUE"""),45783.0)</f>
        <v>45783</v>
      </c>
      <c r="D472" s="14" t="str">
        <f>IFERROR(__xludf.DUMMYFUNCTION("""COMPUTED_VALUE"""),"H")</f>
        <v>H</v>
      </c>
      <c r="E472" s="14" t="str">
        <f>IFERROR(__xludf.DUMMYFUNCTION("""COMPUTED_VALUE"""),"Turkiye")</f>
        <v>Turkiye</v>
      </c>
      <c r="F472" s="16" t="str">
        <f>IFERROR(__xludf.DUMMYFUNCTION("""COMPUTED_VALUE"""),"TRB")</f>
        <v>TRB</v>
      </c>
    </row>
    <row r="473">
      <c r="A473" s="14" t="str">
        <f>IFERROR(__xludf.DUMMYFUNCTION("""COMPUTED_VALUE"""),"Necla Bilgin")</f>
        <v>Necla Bilgin</v>
      </c>
      <c r="B473" s="14" t="str">
        <f>IFERROR(__xludf.DUMMYFUNCTION("""COMPUTED_VALUE"""),"2025-AT-C445")</f>
        <v>2025-AT-C445</v>
      </c>
      <c r="C473" s="17">
        <f>IFERROR(__xludf.DUMMYFUNCTION("""COMPUTED_VALUE"""),45790.0)</f>
        <v>45790</v>
      </c>
      <c r="D473" s="14" t="str">
        <f>IFERROR(__xludf.DUMMYFUNCTION("""COMPUTED_VALUE"""),"H")</f>
        <v>H</v>
      </c>
      <c r="E473" s="14" t="str">
        <f>IFERROR(__xludf.DUMMYFUNCTION("""COMPUTED_VALUE"""),"Turkiye")</f>
        <v>Turkiye</v>
      </c>
      <c r="F473" s="16" t="str">
        <f>IFERROR(__xludf.DUMMYFUNCTION("""COMPUTED_VALUE"""),"Bureau Veritas Turkiye")</f>
        <v>Bureau Veritas Turkiye</v>
      </c>
    </row>
    <row r="474">
      <c r="A474" s="14" t="str">
        <f>IFERROR(__xludf.DUMMYFUNCTION("""COMPUTED_VALUE"""),"Dilek Sever")</f>
        <v>Dilek Sever</v>
      </c>
      <c r="B474" s="14" t="str">
        <f>IFERROR(__xludf.DUMMYFUNCTION("""COMPUTED_VALUE"""),"2025-AT-C446")</f>
        <v>2025-AT-C446</v>
      </c>
      <c r="C474" s="17">
        <f>IFERROR(__xludf.DUMMYFUNCTION("""COMPUTED_VALUE"""),45790.0)</f>
        <v>45790</v>
      </c>
      <c r="D474" s="14" t="str">
        <f>IFERROR(__xludf.DUMMYFUNCTION("""COMPUTED_VALUE"""),"H")</f>
        <v>H</v>
      </c>
      <c r="E474" s="14" t="str">
        <f>IFERROR(__xludf.DUMMYFUNCTION("""COMPUTED_VALUE"""),"Turkiye")</f>
        <v>Turkiye</v>
      </c>
      <c r="F474" s="16" t="str">
        <f>IFERROR(__xludf.DUMMYFUNCTION("""COMPUTED_VALUE"""),"Globalis")</f>
        <v>Globalis</v>
      </c>
    </row>
    <row r="475">
      <c r="A475" s="14" t="str">
        <f>IFERROR(__xludf.DUMMYFUNCTION("""COMPUTED_VALUE"""),"Serkan Ceylan")</f>
        <v>Serkan Ceylan</v>
      </c>
      <c r="B475" s="14" t="str">
        <f>IFERROR(__xludf.DUMMYFUNCTION("""COMPUTED_VALUE"""),"2025-AT-C447")</f>
        <v>2025-AT-C447</v>
      </c>
      <c r="C475" s="17">
        <f>IFERROR(__xludf.DUMMYFUNCTION("""COMPUTED_VALUE"""),45790.0)</f>
        <v>45790</v>
      </c>
      <c r="D475" s="14" t="str">
        <f>IFERROR(__xludf.DUMMYFUNCTION("""COMPUTED_VALUE"""),"H")</f>
        <v>H</v>
      </c>
      <c r="E475" s="14" t="str">
        <f>IFERROR(__xludf.DUMMYFUNCTION("""COMPUTED_VALUE"""),"Turkiye")</f>
        <v>Turkiye</v>
      </c>
      <c r="F475" s="16" t="str">
        <f>IFERROR(__xludf.DUMMYFUNCTION("""COMPUTED_VALUE"""),"lloyd LRQA")</f>
        <v>lloyd LRQA</v>
      </c>
    </row>
    <row r="476">
      <c r="A476" s="14" t="str">
        <f>IFERROR(__xludf.DUMMYFUNCTION("""COMPUTED_VALUE"""),"Abdullah Durdu")</f>
        <v>Abdullah Durdu</v>
      </c>
      <c r="B476" s="14" t="str">
        <f>IFERROR(__xludf.DUMMYFUNCTION("""COMPUTED_VALUE"""),"2025-AT-C448")</f>
        <v>2025-AT-C448</v>
      </c>
      <c r="C476" s="17">
        <f>IFERROR(__xludf.DUMMYFUNCTION("""COMPUTED_VALUE"""),45798.0)</f>
        <v>45798</v>
      </c>
      <c r="D476" s="14" t="str">
        <f>IFERROR(__xludf.DUMMYFUNCTION("""COMPUTED_VALUE"""),"H")</f>
        <v>H</v>
      </c>
      <c r="E476" s="14" t="str">
        <f>IFERROR(__xludf.DUMMYFUNCTION("""COMPUTED_VALUE"""),"Turkiye")</f>
        <v>Turkiye</v>
      </c>
      <c r="F476" s="16" t="str">
        <f>IFERROR(__xludf.DUMMYFUNCTION("""COMPUTED_VALUE"""),"Alberk QA")</f>
        <v>Alberk QA</v>
      </c>
    </row>
    <row r="477">
      <c r="A477" s="14" t="str">
        <f>IFERROR(__xludf.DUMMYFUNCTION("""COMPUTED_VALUE"""),"CANAN BUTUN")</f>
        <v>CANAN BUTUN</v>
      </c>
      <c r="B477" s="14" t="str">
        <f>IFERROR(__xludf.DUMMYFUNCTION("""COMPUTED_VALUE"""),"2025-AT-C449")</f>
        <v>2025-AT-C449</v>
      </c>
      <c r="C477" s="17">
        <f>IFERROR(__xludf.DUMMYFUNCTION("""COMPUTED_VALUE"""),45798.0)</f>
        <v>45798</v>
      </c>
      <c r="D477" s="14" t="str">
        <f>IFERROR(__xludf.DUMMYFUNCTION("""COMPUTED_VALUE"""),"H")</f>
        <v>H</v>
      </c>
      <c r="E477" s="14" t="str">
        <f>IFERROR(__xludf.DUMMYFUNCTION("""COMPUTED_VALUE"""),"Turkiye")</f>
        <v>Turkiye</v>
      </c>
      <c r="F477" s="16" t="str">
        <f>IFERROR(__xludf.DUMMYFUNCTION("""COMPUTED_VALUE"""),"ARTI KOBİ DANIŞMANLIK")</f>
        <v>ARTI KOBİ DANIŞMANLIK</v>
      </c>
    </row>
    <row r="478">
      <c r="A478" s="14" t="str">
        <f>IFERROR(__xludf.DUMMYFUNCTION("""COMPUTED_VALUE"""),"AYKUT BUTUN")</f>
        <v>AYKUT BUTUN</v>
      </c>
      <c r="B478" s="14" t="str">
        <f>IFERROR(__xludf.DUMMYFUNCTION("""COMPUTED_VALUE"""),"2025-AT-C450")</f>
        <v>2025-AT-C450</v>
      </c>
      <c r="C478" s="17">
        <f>IFERROR(__xludf.DUMMYFUNCTION("""COMPUTED_VALUE"""),45798.0)</f>
        <v>45798</v>
      </c>
      <c r="D478" s="14" t="str">
        <f>IFERROR(__xludf.DUMMYFUNCTION("""COMPUTED_VALUE"""),"H")</f>
        <v>H</v>
      </c>
      <c r="E478" s="14" t="str">
        <f>IFERROR(__xludf.DUMMYFUNCTION("""COMPUTED_VALUE"""),"Turkiye")</f>
        <v>Turkiye</v>
      </c>
      <c r="F478" s="16" t="str">
        <f>IFERROR(__xludf.DUMMYFUNCTION("""COMPUTED_VALUE"""),"ARTI KOBİ DANIŞMANLIK")</f>
        <v>ARTI KOBİ DANIŞMANLIK</v>
      </c>
    </row>
    <row r="479">
      <c r="A479" s="14" t="str">
        <f>IFERROR(__xludf.DUMMYFUNCTION("""COMPUTED_VALUE"""),"Şahin Sevrük")</f>
        <v>Şahin Sevrük</v>
      </c>
      <c r="B479" s="14" t="str">
        <f>IFERROR(__xludf.DUMMYFUNCTION("""COMPUTED_VALUE"""),"2025-AT-C451")</f>
        <v>2025-AT-C451</v>
      </c>
      <c r="C479" s="17">
        <f>IFERROR(__xludf.DUMMYFUNCTION("""COMPUTED_VALUE"""),45798.0)</f>
        <v>45798</v>
      </c>
      <c r="D479" s="14" t="str">
        <f>IFERROR(__xludf.DUMMYFUNCTION("""COMPUTED_VALUE"""),"H")</f>
        <v>H</v>
      </c>
      <c r="E479" s="14" t="str">
        <f>IFERROR(__xludf.DUMMYFUNCTION("""COMPUTED_VALUE"""),"Turkiye")</f>
        <v>Turkiye</v>
      </c>
      <c r="F479" s="16" t="str">
        <f>IFERROR(__xludf.DUMMYFUNCTION("""COMPUTED_VALUE"""),"Bix kurumsal / control union")</f>
        <v>Bix kurumsal / control union</v>
      </c>
    </row>
    <row r="480">
      <c r="A480" s="14" t="str">
        <f>IFERROR(__xludf.DUMMYFUNCTION("""COMPUTED_VALUE"""),"YENİŞ ÇELİKTEN")</f>
        <v>YENİŞ ÇELİKTEN</v>
      </c>
      <c r="B480" s="14" t="str">
        <f>IFERROR(__xludf.DUMMYFUNCTION("""COMPUTED_VALUE"""),"2025-AT-C452")</f>
        <v>2025-AT-C452</v>
      </c>
      <c r="C480" s="17">
        <f>IFERROR(__xludf.DUMMYFUNCTION("""COMPUTED_VALUE"""),45798.0)</f>
        <v>45798</v>
      </c>
      <c r="D480" s="14" t="str">
        <f>IFERROR(__xludf.DUMMYFUNCTION("""COMPUTED_VALUE"""),"H")</f>
        <v>H</v>
      </c>
      <c r="E480" s="14" t="str">
        <f>IFERROR(__xludf.DUMMYFUNCTION("""COMPUTED_VALUE"""),"Turkiye")</f>
        <v>Turkiye</v>
      </c>
      <c r="F480" s="16" t="str">
        <f>IFERROR(__xludf.DUMMYFUNCTION("""COMPUTED_VALUE"""),"Bureau Veritas Turkiye")</f>
        <v>Bureau Veritas Turkiye</v>
      </c>
    </row>
    <row r="481">
      <c r="A481" s="14" t="str">
        <f>IFERROR(__xludf.DUMMYFUNCTION("""COMPUTED_VALUE"""),"Kübra Ergen")</f>
        <v>Kübra Ergen</v>
      </c>
      <c r="B481" s="14" t="str">
        <f>IFERROR(__xludf.DUMMYFUNCTION("""COMPUTED_VALUE"""),"2025-AT-C453")</f>
        <v>2025-AT-C453</v>
      </c>
      <c r="C481" s="17">
        <f>IFERROR(__xludf.DUMMYFUNCTION("""COMPUTED_VALUE"""),45798.0)</f>
        <v>45798</v>
      </c>
      <c r="D481" s="14" t="str">
        <f>IFERROR(__xludf.DUMMYFUNCTION("""COMPUTED_VALUE"""),"H")</f>
        <v>H</v>
      </c>
      <c r="E481" s="14" t="str">
        <f>IFERROR(__xludf.DUMMYFUNCTION("""COMPUTED_VALUE"""),"Turkiye")</f>
        <v>Turkiye</v>
      </c>
      <c r="F481" s="16" t="str">
        <f>IFERROR(__xludf.DUMMYFUNCTION("""COMPUTED_VALUE"""),"Premium Hedef Hijyen Danışmanlık")</f>
        <v>Premium Hedef Hijyen Danışmanlık</v>
      </c>
    </row>
    <row r="482">
      <c r="A482" s="14" t="str">
        <f>IFERROR(__xludf.DUMMYFUNCTION("""COMPUTED_VALUE"""),"Deniz Çatakoğlu")</f>
        <v>Deniz Çatakoğlu</v>
      </c>
      <c r="B482" s="14" t="str">
        <f>IFERROR(__xludf.DUMMYFUNCTION("""COMPUTED_VALUE"""),"2025-AT-C454")</f>
        <v>2025-AT-C454</v>
      </c>
      <c r="C482" s="17"/>
      <c r="D482" s="14" t="str">
        <f>IFERROR(__xludf.DUMMYFUNCTION("""COMPUTED_VALUE"""),"H")</f>
        <v>H</v>
      </c>
      <c r="E482" s="14" t="str">
        <f>IFERROR(__xludf.DUMMYFUNCTION("""COMPUTED_VALUE"""),"Turkiye")</f>
        <v>Turkiye</v>
      </c>
      <c r="F482" s="16" t="str">
        <f>IFERROR(__xludf.DUMMYFUNCTION("""COMPUTED_VALUE"""),"Globalis")</f>
        <v>Globalis</v>
      </c>
    </row>
    <row r="483">
      <c r="A483" s="14" t="str">
        <f>IFERROR(__xludf.DUMMYFUNCTION("""COMPUTED_VALUE"""),"EDANUR TOMUR")</f>
        <v>EDANUR TOMUR</v>
      </c>
      <c r="B483" s="14" t="str">
        <f>IFERROR(__xludf.DUMMYFUNCTION("""COMPUTED_VALUE"""),"2025-AT-C455")</f>
        <v>2025-AT-C455</v>
      </c>
      <c r="C483" s="17"/>
      <c r="D483" s="14" t="str">
        <f>IFERROR(__xludf.DUMMYFUNCTION("""COMPUTED_VALUE"""),"H")</f>
        <v>H</v>
      </c>
      <c r="E483" s="14" t="str">
        <f>IFERROR(__xludf.DUMMYFUNCTION("""COMPUTED_VALUE"""),"Turkiye")</f>
        <v>Turkiye</v>
      </c>
      <c r="F483" s="16" t="str">
        <f>IFERROR(__xludf.DUMMYFUNCTION("""COMPUTED_VALUE"""),"TUV Austria Turk")</f>
        <v>TUV Austria Turk</v>
      </c>
    </row>
    <row r="484">
      <c r="A484" s="14" t="str">
        <f>IFERROR(__xludf.DUMMYFUNCTION("""COMPUTED_VALUE"""),"Ali Ergen")</f>
        <v>Ali Ergen</v>
      </c>
      <c r="B484" s="14" t="str">
        <f>IFERROR(__xludf.DUMMYFUNCTION("""COMPUTED_VALUE"""),"2025-AT-C456")</f>
        <v>2025-AT-C456</v>
      </c>
      <c r="C484" s="17">
        <f>IFERROR(__xludf.DUMMYFUNCTION("""COMPUTED_VALUE"""),45798.0)</f>
        <v>45798</v>
      </c>
      <c r="D484" s="14" t="str">
        <f>IFERROR(__xludf.DUMMYFUNCTION("""COMPUTED_VALUE"""),"H")</f>
        <v>H</v>
      </c>
      <c r="E484" s="14" t="str">
        <f>IFERROR(__xludf.DUMMYFUNCTION("""COMPUTED_VALUE"""),"Turkiye")</f>
        <v>Turkiye</v>
      </c>
      <c r="F484" s="16" t="str">
        <f>IFERROR(__xludf.DUMMYFUNCTION("""COMPUTED_VALUE"""),"Premium Hedef Hijyen Danışmanlık")</f>
        <v>Premium Hedef Hijyen Danışmanlık</v>
      </c>
    </row>
    <row r="485">
      <c r="A485" s="14" t="str">
        <f>IFERROR(__xludf.DUMMYFUNCTION("""COMPUTED_VALUE"""),"Duygu ÇAYDAŞ AKYOL")</f>
        <v>Duygu ÇAYDAŞ AKYOL</v>
      </c>
      <c r="B485" s="14" t="str">
        <f>IFERROR(__xludf.DUMMYFUNCTION("""COMPUTED_VALUE"""),"2025-AT-C457")</f>
        <v>2025-AT-C457</v>
      </c>
      <c r="C485" s="17"/>
      <c r="D485" s="14" t="str">
        <f>IFERROR(__xludf.DUMMYFUNCTION("""COMPUTED_VALUE"""),"H")</f>
        <v>H</v>
      </c>
      <c r="E485" s="14" t="str">
        <f>IFERROR(__xludf.DUMMYFUNCTION("""COMPUTED_VALUE"""),"Turkiye")</f>
        <v>Turkiye</v>
      </c>
      <c r="F485" s="16" t="str">
        <f>IFERROR(__xludf.DUMMYFUNCTION("""COMPUTED_VALUE"""),"TSE Global")</f>
        <v>TSE Global</v>
      </c>
    </row>
    <row r="486">
      <c r="A486" s="14" t="str">
        <f>IFERROR(__xludf.DUMMYFUNCTION("""COMPUTED_VALUE"""),"Charmmon Romero")</f>
        <v>Charmmon Romero</v>
      </c>
      <c r="B486" s="14" t="str">
        <f>IFERROR(__xludf.DUMMYFUNCTION("""COMPUTED_VALUE"""),"2025-AT-C458")</f>
        <v>2025-AT-C458</v>
      </c>
      <c r="C486" s="17"/>
      <c r="D486" s="14" t="str">
        <f>IFERROR(__xludf.DUMMYFUNCTION("""COMPUTED_VALUE"""),"H")</f>
        <v>H</v>
      </c>
      <c r="E486" s="14" t="str">
        <f>IFERROR(__xludf.DUMMYFUNCTION("""COMPUTED_VALUE"""),"Singapore")</f>
        <v>Singapore</v>
      </c>
      <c r="F486" s="16" t="str">
        <f>IFERROR(__xludf.DUMMYFUNCTION("""COMPUTED_VALUE"""),"Pullman Singapore Hill Street")</f>
        <v>Pullman Singapore Hill Street</v>
      </c>
    </row>
    <row r="487">
      <c r="A487" s="14" t="str">
        <f>IFERROR(__xludf.DUMMYFUNCTION("""COMPUTED_VALUE"""),"Spiros Migos")</f>
        <v>Spiros Migos</v>
      </c>
      <c r="B487" s="14"/>
      <c r="C487" s="17"/>
      <c r="D487" s="14" t="str">
        <f>IFERROR(__xludf.DUMMYFUNCTION("""COMPUTED_VALUE"""),"H")</f>
        <v>H</v>
      </c>
      <c r="E487" s="14"/>
      <c r="F487" s="16"/>
    </row>
    <row r="488">
      <c r="A488" s="14" t="str">
        <f>IFERROR(__xludf.DUMMYFUNCTION("""COMPUTED_VALUE"""),"Annisa Dwi Febrianty")</f>
        <v>Annisa Dwi Febrianty</v>
      </c>
      <c r="B488" s="14"/>
      <c r="C488" s="17"/>
      <c r="D488" s="14" t="str">
        <f>IFERROR(__xludf.DUMMYFUNCTION("""COMPUTED_VALUE"""),"H")</f>
        <v>H</v>
      </c>
      <c r="E488" s="14"/>
      <c r="F488" s="16"/>
    </row>
    <row r="489">
      <c r="C489" s="15"/>
      <c r="F489" s="16"/>
    </row>
    <row r="490">
      <c r="C490" s="15"/>
      <c r="F490" s="16"/>
    </row>
    <row r="491">
      <c r="C491" s="15"/>
      <c r="F491" s="16"/>
    </row>
    <row r="492">
      <c r="C492" s="15"/>
      <c r="F492" s="16"/>
    </row>
    <row r="493">
      <c r="C493" s="15"/>
      <c r="F493" s="16"/>
    </row>
    <row r="494">
      <c r="C494" s="15"/>
      <c r="F494" s="16"/>
    </row>
    <row r="495">
      <c r="C495" s="15"/>
      <c r="F495" s="16"/>
    </row>
    <row r="496">
      <c r="C496" s="15"/>
      <c r="F496" s="16"/>
    </row>
    <row r="497">
      <c r="C497" s="15"/>
      <c r="F497" s="16"/>
    </row>
    <row r="498">
      <c r="C498" s="15"/>
      <c r="F498" s="16"/>
    </row>
    <row r="499">
      <c r="C499" s="15"/>
      <c r="F499" s="16"/>
    </row>
    <row r="500">
      <c r="C500" s="15"/>
      <c r="F500" s="16"/>
    </row>
    <row r="501">
      <c r="C501" s="15"/>
      <c r="F501" s="16"/>
    </row>
    <row r="502">
      <c r="C502" s="15"/>
      <c r="F502" s="16"/>
    </row>
    <row r="503">
      <c r="C503" s="15"/>
      <c r="F503" s="16"/>
    </row>
    <row r="504">
      <c r="C504" s="15"/>
      <c r="F504" s="16"/>
    </row>
    <row r="505">
      <c r="C505" s="15"/>
      <c r="F505" s="16"/>
    </row>
    <row r="506">
      <c r="C506" s="15"/>
      <c r="F506" s="16"/>
    </row>
    <row r="507">
      <c r="C507" s="15"/>
      <c r="F507" s="16"/>
    </row>
    <row r="508">
      <c r="C508" s="15"/>
      <c r="F508" s="16"/>
    </row>
    <row r="509">
      <c r="C509" s="15"/>
      <c r="F509" s="16"/>
    </row>
    <row r="510">
      <c r="C510" s="15"/>
      <c r="F510" s="16"/>
    </row>
    <row r="511">
      <c r="C511" s="15"/>
      <c r="F511" s="16"/>
    </row>
    <row r="512">
      <c r="C512" s="15"/>
      <c r="F512" s="16"/>
    </row>
    <row r="513">
      <c r="C513" s="15"/>
      <c r="F513" s="16"/>
    </row>
    <row r="514">
      <c r="C514" s="15"/>
      <c r="F514" s="16"/>
    </row>
    <row r="515">
      <c r="C515" s="15"/>
      <c r="F515" s="16"/>
    </row>
    <row r="516">
      <c r="C516" s="15"/>
      <c r="F516" s="16"/>
    </row>
    <row r="517">
      <c r="C517" s="15"/>
      <c r="F517" s="16"/>
    </row>
    <row r="518">
      <c r="C518" s="15"/>
      <c r="F518" s="16"/>
    </row>
    <row r="519">
      <c r="C519" s="15"/>
      <c r="F519" s="16"/>
    </row>
    <row r="520">
      <c r="C520" s="15"/>
      <c r="F520" s="16"/>
    </row>
    <row r="521">
      <c r="C521" s="15"/>
      <c r="F521" s="16"/>
    </row>
    <row r="522">
      <c r="C522" s="15"/>
      <c r="F522" s="16"/>
    </row>
    <row r="523">
      <c r="C523" s="15"/>
      <c r="F523" s="16"/>
    </row>
    <row r="524">
      <c r="C524" s="15"/>
      <c r="F524" s="16"/>
    </row>
    <row r="525">
      <c r="C525" s="15"/>
      <c r="F525" s="16"/>
    </row>
    <row r="526">
      <c r="C526" s="15"/>
      <c r="F526" s="16"/>
    </row>
    <row r="527">
      <c r="C527" s="15"/>
      <c r="F527" s="16"/>
    </row>
    <row r="528">
      <c r="C528" s="15"/>
      <c r="F528" s="16"/>
    </row>
    <row r="529">
      <c r="C529" s="15"/>
      <c r="F529" s="16"/>
    </row>
    <row r="530">
      <c r="C530" s="15"/>
      <c r="F530" s="16"/>
    </row>
    <row r="531">
      <c r="C531" s="15"/>
      <c r="F531" s="16"/>
    </row>
    <row r="532">
      <c r="C532" s="15"/>
      <c r="F532" s="16"/>
    </row>
    <row r="533">
      <c r="C533" s="15"/>
      <c r="F533" s="16"/>
    </row>
    <row r="534">
      <c r="C534" s="15"/>
      <c r="F534" s="16"/>
    </row>
    <row r="535">
      <c r="C535" s="15"/>
      <c r="F535" s="16"/>
    </row>
    <row r="536">
      <c r="C536" s="15"/>
      <c r="F536" s="16"/>
    </row>
    <row r="537">
      <c r="C537" s="15"/>
      <c r="F537" s="16"/>
    </row>
    <row r="538">
      <c r="C538" s="15"/>
      <c r="F538" s="16"/>
    </row>
    <row r="539">
      <c r="C539" s="15"/>
      <c r="F539" s="16"/>
    </row>
    <row r="540">
      <c r="C540" s="15"/>
      <c r="F540" s="16"/>
    </row>
    <row r="541">
      <c r="C541" s="15"/>
      <c r="F541" s="16"/>
    </row>
    <row r="542">
      <c r="C542" s="15"/>
      <c r="F542" s="16"/>
    </row>
    <row r="543">
      <c r="C543" s="15"/>
      <c r="F543" s="16"/>
    </row>
    <row r="544">
      <c r="C544" s="15"/>
      <c r="F544" s="16"/>
    </row>
    <row r="545">
      <c r="C545" s="15"/>
      <c r="F545" s="16"/>
    </row>
    <row r="546">
      <c r="C546" s="15"/>
      <c r="F546" s="16"/>
    </row>
    <row r="547">
      <c r="C547" s="15"/>
      <c r="F547" s="16"/>
    </row>
    <row r="548">
      <c r="C548" s="15"/>
      <c r="F548" s="16"/>
    </row>
    <row r="549">
      <c r="C549" s="15"/>
      <c r="F549" s="16"/>
    </row>
    <row r="550">
      <c r="C550" s="15"/>
      <c r="F550" s="16"/>
    </row>
    <row r="551">
      <c r="C551" s="15"/>
      <c r="F551" s="16"/>
    </row>
    <row r="552">
      <c r="C552" s="15"/>
      <c r="F552" s="16"/>
    </row>
    <row r="553">
      <c r="C553" s="15"/>
      <c r="F553" s="16"/>
    </row>
    <row r="554">
      <c r="C554" s="15"/>
      <c r="F554" s="16"/>
    </row>
    <row r="555">
      <c r="C555" s="15"/>
      <c r="F555" s="16"/>
    </row>
    <row r="556">
      <c r="C556" s="15"/>
      <c r="F556" s="16"/>
    </row>
    <row r="557">
      <c r="C557" s="15"/>
      <c r="F557" s="16"/>
    </row>
    <row r="558">
      <c r="C558" s="15"/>
      <c r="F558" s="16"/>
    </row>
    <row r="559">
      <c r="C559" s="15"/>
      <c r="F559" s="16"/>
    </row>
    <row r="560">
      <c r="C560" s="15"/>
      <c r="F560" s="16"/>
    </row>
    <row r="561">
      <c r="C561" s="15"/>
      <c r="F561" s="16"/>
    </row>
    <row r="562">
      <c r="C562" s="15"/>
      <c r="F562" s="16"/>
    </row>
    <row r="563">
      <c r="C563" s="15"/>
      <c r="F563" s="16"/>
    </row>
    <row r="564">
      <c r="C564" s="15"/>
      <c r="F564" s="16"/>
    </row>
    <row r="565">
      <c r="C565" s="15"/>
      <c r="F565" s="16"/>
    </row>
    <row r="566">
      <c r="C566" s="15"/>
      <c r="F566" s="16"/>
    </row>
    <row r="567">
      <c r="C567" s="15"/>
      <c r="F567" s="16"/>
    </row>
    <row r="568">
      <c r="C568" s="15"/>
      <c r="F568" s="16"/>
    </row>
    <row r="569">
      <c r="C569" s="15"/>
      <c r="F569" s="16"/>
    </row>
    <row r="570">
      <c r="C570" s="15"/>
      <c r="F570" s="16"/>
    </row>
    <row r="571">
      <c r="C571" s="15"/>
      <c r="F571" s="16"/>
    </row>
    <row r="572">
      <c r="C572" s="15"/>
      <c r="F572" s="16"/>
    </row>
    <row r="573">
      <c r="C573" s="15"/>
      <c r="F573" s="16"/>
    </row>
    <row r="574">
      <c r="C574" s="15"/>
      <c r="F574" s="16"/>
    </row>
    <row r="575">
      <c r="C575" s="15"/>
      <c r="F575" s="16"/>
    </row>
    <row r="576">
      <c r="C576" s="15"/>
      <c r="F576" s="16"/>
    </row>
    <row r="577">
      <c r="C577" s="15"/>
      <c r="F577" s="16"/>
    </row>
    <row r="578">
      <c r="C578" s="15"/>
      <c r="F578" s="16"/>
    </row>
    <row r="579">
      <c r="C579" s="15"/>
      <c r="F579" s="16"/>
    </row>
    <row r="580">
      <c r="C580" s="15"/>
      <c r="F580" s="16"/>
    </row>
    <row r="581">
      <c r="C581" s="15"/>
      <c r="F581" s="16"/>
    </row>
    <row r="582">
      <c r="C582" s="15"/>
      <c r="F582" s="16"/>
    </row>
    <row r="583">
      <c r="C583" s="15"/>
      <c r="F583" s="16"/>
    </row>
    <row r="584">
      <c r="C584" s="15"/>
      <c r="F584" s="16"/>
    </row>
    <row r="585">
      <c r="C585" s="15"/>
      <c r="F585" s="16"/>
    </row>
    <row r="586">
      <c r="C586" s="15"/>
      <c r="F586" s="16"/>
    </row>
    <row r="587">
      <c r="C587" s="15"/>
      <c r="F587" s="16"/>
    </row>
    <row r="588">
      <c r="C588" s="15"/>
      <c r="F588" s="16"/>
    </row>
    <row r="589">
      <c r="C589" s="15"/>
      <c r="F589" s="16"/>
    </row>
    <row r="590">
      <c r="C590" s="15"/>
      <c r="F590" s="16"/>
    </row>
    <row r="591">
      <c r="C591" s="15"/>
      <c r="F591" s="16"/>
    </row>
    <row r="592">
      <c r="C592" s="15"/>
      <c r="F592" s="16"/>
    </row>
    <row r="593">
      <c r="C593" s="15"/>
      <c r="F593" s="16"/>
    </row>
    <row r="594">
      <c r="C594" s="15"/>
      <c r="F594" s="16"/>
    </row>
    <row r="595">
      <c r="C595" s="15"/>
      <c r="F595" s="16"/>
    </row>
    <row r="596">
      <c r="C596" s="15"/>
      <c r="F596" s="16"/>
    </row>
    <row r="597">
      <c r="C597" s="15"/>
      <c r="F597" s="16"/>
    </row>
    <row r="598">
      <c r="C598" s="15"/>
      <c r="F598" s="16"/>
    </row>
    <row r="599">
      <c r="C599" s="15"/>
      <c r="F599" s="16"/>
    </row>
    <row r="600">
      <c r="C600" s="15"/>
      <c r="F600" s="16"/>
    </row>
    <row r="601">
      <c r="C601" s="15"/>
      <c r="F601" s="16"/>
    </row>
    <row r="602">
      <c r="C602" s="15"/>
      <c r="F602" s="16"/>
    </row>
    <row r="603">
      <c r="C603" s="15"/>
      <c r="F603" s="16"/>
    </row>
    <row r="604">
      <c r="C604" s="15"/>
      <c r="F604" s="16"/>
    </row>
    <row r="605">
      <c r="C605" s="15"/>
      <c r="F605" s="16"/>
    </row>
    <row r="606">
      <c r="C606" s="15"/>
      <c r="F606" s="16"/>
    </row>
    <row r="607">
      <c r="C607" s="15"/>
      <c r="F607" s="16"/>
    </row>
    <row r="608">
      <c r="C608" s="15"/>
      <c r="F608" s="16"/>
    </row>
    <row r="609">
      <c r="C609" s="15"/>
      <c r="F609" s="16"/>
    </row>
    <row r="610">
      <c r="C610" s="15"/>
      <c r="F610" s="16"/>
    </row>
    <row r="611">
      <c r="C611" s="15"/>
      <c r="F611" s="16"/>
    </row>
    <row r="612">
      <c r="C612" s="15"/>
      <c r="F612" s="16"/>
    </row>
    <row r="613">
      <c r="C613" s="15"/>
      <c r="F613" s="16"/>
    </row>
    <row r="614">
      <c r="C614" s="15"/>
      <c r="F614" s="16"/>
    </row>
    <row r="615">
      <c r="C615" s="15"/>
      <c r="F615" s="16"/>
    </row>
    <row r="616">
      <c r="C616" s="15"/>
      <c r="F616" s="16"/>
    </row>
    <row r="617">
      <c r="C617" s="15"/>
      <c r="F617" s="16"/>
    </row>
    <row r="618">
      <c r="C618" s="15"/>
      <c r="F618" s="16"/>
    </row>
    <row r="619">
      <c r="C619" s="15"/>
      <c r="F619" s="16"/>
    </row>
    <row r="620">
      <c r="C620" s="15"/>
      <c r="F620" s="16"/>
    </row>
    <row r="621">
      <c r="C621" s="15"/>
      <c r="F621" s="16"/>
    </row>
    <row r="622">
      <c r="C622" s="15"/>
      <c r="F622" s="16"/>
    </row>
    <row r="623">
      <c r="C623" s="15"/>
      <c r="F623" s="16"/>
    </row>
    <row r="624">
      <c r="C624" s="15"/>
      <c r="F624" s="16"/>
    </row>
    <row r="625">
      <c r="C625" s="15"/>
      <c r="F625" s="16"/>
    </row>
    <row r="626">
      <c r="C626" s="15"/>
      <c r="F626" s="16"/>
    </row>
    <row r="627">
      <c r="C627" s="15"/>
      <c r="F627" s="16"/>
    </row>
    <row r="628">
      <c r="C628" s="15"/>
      <c r="F628" s="16"/>
    </row>
    <row r="629">
      <c r="C629" s="15"/>
      <c r="F629" s="16"/>
    </row>
    <row r="630">
      <c r="C630" s="15"/>
      <c r="F630" s="16"/>
    </row>
    <row r="631">
      <c r="C631" s="15"/>
      <c r="F631" s="16"/>
    </row>
    <row r="632">
      <c r="C632" s="15"/>
      <c r="F632" s="16"/>
    </row>
    <row r="633">
      <c r="C633" s="15"/>
      <c r="F633" s="16"/>
    </row>
    <row r="634">
      <c r="C634" s="15"/>
      <c r="F634" s="16"/>
    </row>
    <row r="635">
      <c r="C635" s="15"/>
      <c r="F635" s="16"/>
    </row>
    <row r="636">
      <c r="C636" s="15"/>
      <c r="F636" s="16"/>
    </row>
    <row r="637">
      <c r="C637" s="15"/>
      <c r="F637" s="16"/>
    </row>
    <row r="638">
      <c r="C638" s="15"/>
      <c r="F638" s="16"/>
    </row>
    <row r="639">
      <c r="C639" s="15"/>
      <c r="F639" s="16"/>
    </row>
    <row r="640">
      <c r="C640" s="15"/>
      <c r="F640" s="16"/>
    </row>
    <row r="641">
      <c r="C641" s="15"/>
      <c r="F641" s="16"/>
    </row>
    <row r="642">
      <c r="C642" s="15"/>
      <c r="F642" s="16"/>
    </row>
    <row r="643">
      <c r="C643" s="15"/>
      <c r="F643" s="16"/>
    </row>
    <row r="644">
      <c r="C644" s="15"/>
      <c r="F644" s="16"/>
    </row>
    <row r="645">
      <c r="C645" s="15"/>
      <c r="F645" s="16"/>
    </row>
    <row r="646">
      <c r="C646" s="15"/>
      <c r="F646" s="16"/>
    </row>
    <row r="647">
      <c r="C647" s="15"/>
      <c r="F647" s="16"/>
    </row>
    <row r="648">
      <c r="C648" s="15"/>
      <c r="F648" s="16"/>
    </row>
    <row r="649">
      <c r="C649" s="15"/>
      <c r="F649" s="16"/>
    </row>
    <row r="650">
      <c r="C650" s="15"/>
      <c r="F650" s="16"/>
    </row>
    <row r="651">
      <c r="C651" s="15"/>
      <c r="F651" s="16"/>
    </row>
    <row r="652">
      <c r="C652" s="15"/>
      <c r="F652" s="16"/>
    </row>
    <row r="653">
      <c r="C653" s="15"/>
      <c r="F653" s="16"/>
    </row>
    <row r="654">
      <c r="C654" s="15"/>
      <c r="F654" s="16"/>
    </row>
    <row r="655">
      <c r="C655" s="15"/>
      <c r="F655" s="16"/>
    </row>
    <row r="656">
      <c r="C656" s="15"/>
      <c r="F656" s="16"/>
    </row>
    <row r="657">
      <c r="C657" s="15"/>
      <c r="F657" s="16"/>
    </row>
    <row r="658">
      <c r="C658" s="15"/>
      <c r="F658" s="16"/>
    </row>
    <row r="659">
      <c r="C659" s="15"/>
      <c r="F659" s="16"/>
    </row>
    <row r="660">
      <c r="C660" s="15"/>
      <c r="F660" s="16"/>
    </row>
    <row r="661">
      <c r="C661" s="15"/>
      <c r="F661" s="16"/>
    </row>
    <row r="662">
      <c r="C662" s="15"/>
      <c r="F662" s="16"/>
    </row>
    <row r="663">
      <c r="C663" s="15"/>
      <c r="F663" s="16"/>
    </row>
    <row r="664">
      <c r="C664" s="15"/>
      <c r="F664" s="16"/>
    </row>
    <row r="665">
      <c r="C665" s="15"/>
      <c r="F665" s="16"/>
    </row>
    <row r="666">
      <c r="C666" s="15"/>
      <c r="F666" s="16"/>
    </row>
    <row r="667">
      <c r="C667" s="15"/>
      <c r="F667" s="16"/>
    </row>
    <row r="668">
      <c r="C668" s="15"/>
      <c r="F668" s="16"/>
    </row>
    <row r="669">
      <c r="C669" s="15"/>
      <c r="F669" s="16"/>
    </row>
    <row r="670">
      <c r="C670" s="15"/>
      <c r="F670" s="16"/>
    </row>
    <row r="671">
      <c r="C671" s="15"/>
      <c r="F671" s="16"/>
    </row>
    <row r="672">
      <c r="C672" s="15"/>
      <c r="F672" s="16"/>
    </row>
    <row r="673">
      <c r="C673" s="15"/>
      <c r="F673" s="16"/>
    </row>
    <row r="674">
      <c r="C674" s="15"/>
      <c r="F674" s="16"/>
    </row>
    <row r="675">
      <c r="C675" s="15"/>
      <c r="F675" s="16"/>
    </row>
    <row r="676">
      <c r="C676" s="15"/>
      <c r="F676" s="16"/>
    </row>
    <row r="677">
      <c r="C677" s="15"/>
      <c r="F677" s="16"/>
    </row>
    <row r="678">
      <c r="C678" s="15"/>
      <c r="F678" s="16"/>
    </row>
    <row r="679">
      <c r="C679" s="15"/>
      <c r="F679" s="16"/>
    </row>
    <row r="680">
      <c r="C680" s="15"/>
      <c r="F680" s="16"/>
    </row>
    <row r="681">
      <c r="C681" s="15"/>
      <c r="F681" s="16"/>
    </row>
    <row r="682">
      <c r="C682" s="15"/>
      <c r="F682" s="16"/>
    </row>
    <row r="683">
      <c r="C683" s="15"/>
      <c r="F683" s="16"/>
    </row>
    <row r="684">
      <c r="C684" s="15"/>
      <c r="F684" s="16"/>
    </row>
    <row r="685">
      <c r="C685" s="15"/>
      <c r="F685" s="16"/>
    </row>
    <row r="686">
      <c r="C686" s="15"/>
      <c r="F686" s="16"/>
    </row>
    <row r="687">
      <c r="C687" s="15"/>
      <c r="F687" s="16"/>
    </row>
    <row r="688">
      <c r="C688" s="15"/>
      <c r="F688" s="16"/>
    </row>
    <row r="689">
      <c r="C689" s="15"/>
      <c r="F689" s="16"/>
    </row>
    <row r="690">
      <c r="C690" s="15"/>
      <c r="F690" s="16"/>
    </row>
    <row r="691">
      <c r="C691" s="15"/>
      <c r="F691" s="16"/>
    </row>
    <row r="692">
      <c r="C692" s="15"/>
      <c r="F692" s="16"/>
    </row>
    <row r="693">
      <c r="C693" s="15"/>
      <c r="F693" s="16"/>
    </row>
    <row r="694">
      <c r="C694" s="15"/>
      <c r="F694" s="16"/>
    </row>
    <row r="695">
      <c r="C695" s="15"/>
      <c r="F695" s="16"/>
    </row>
    <row r="696">
      <c r="C696" s="15"/>
      <c r="F696" s="16"/>
    </row>
    <row r="697">
      <c r="C697" s="15"/>
      <c r="F697" s="16"/>
    </row>
    <row r="698">
      <c r="C698" s="15"/>
      <c r="F698" s="16"/>
    </row>
    <row r="699">
      <c r="C699" s="15"/>
      <c r="F699" s="16"/>
    </row>
    <row r="700">
      <c r="C700" s="15"/>
      <c r="F700" s="16"/>
    </row>
    <row r="701">
      <c r="C701" s="15"/>
      <c r="F701" s="16"/>
    </row>
    <row r="702">
      <c r="C702" s="15"/>
      <c r="F702" s="16"/>
    </row>
    <row r="703">
      <c r="C703" s="15"/>
      <c r="F703" s="16"/>
    </row>
    <row r="704">
      <c r="C704" s="15"/>
      <c r="F704" s="16"/>
    </row>
    <row r="705">
      <c r="C705" s="15"/>
      <c r="F705" s="16"/>
    </row>
    <row r="706">
      <c r="C706" s="15"/>
      <c r="F706" s="16"/>
    </row>
    <row r="707">
      <c r="C707" s="15"/>
      <c r="F707" s="16"/>
    </row>
    <row r="708">
      <c r="C708" s="15"/>
      <c r="F708" s="16"/>
    </row>
    <row r="709">
      <c r="C709" s="15"/>
      <c r="F709" s="16"/>
    </row>
    <row r="710">
      <c r="C710" s="15"/>
      <c r="F710" s="16"/>
    </row>
    <row r="711">
      <c r="C711" s="15"/>
      <c r="F711" s="16"/>
    </row>
    <row r="712">
      <c r="C712" s="15"/>
      <c r="F712" s="16"/>
    </row>
    <row r="713">
      <c r="C713" s="15"/>
      <c r="F713" s="16"/>
    </row>
    <row r="714">
      <c r="C714" s="15"/>
      <c r="F714" s="16"/>
    </row>
    <row r="715">
      <c r="C715" s="15"/>
      <c r="F715" s="16"/>
    </row>
    <row r="716">
      <c r="C716" s="15"/>
      <c r="F716" s="16"/>
    </row>
    <row r="717">
      <c r="C717" s="15"/>
      <c r="F717" s="16"/>
    </row>
    <row r="718">
      <c r="C718" s="15"/>
      <c r="F718" s="16"/>
    </row>
    <row r="719">
      <c r="C719" s="15"/>
      <c r="F719" s="16"/>
    </row>
    <row r="720">
      <c r="C720" s="15"/>
      <c r="F720" s="16"/>
    </row>
    <row r="721">
      <c r="C721" s="15"/>
      <c r="F721" s="16"/>
    </row>
    <row r="722">
      <c r="C722" s="15"/>
      <c r="F722" s="16"/>
    </row>
    <row r="723">
      <c r="C723" s="15"/>
      <c r="F723" s="16"/>
    </row>
    <row r="724">
      <c r="C724" s="15"/>
      <c r="F724" s="16"/>
    </row>
    <row r="725">
      <c r="C725" s="15"/>
      <c r="F725" s="16"/>
    </row>
    <row r="726">
      <c r="C726" s="15"/>
      <c r="F726" s="16"/>
    </row>
    <row r="727">
      <c r="C727" s="15"/>
      <c r="F727" s="16"/>
    </row>
    <row r="728">
      <c r="C728" s="15"/>
      <c r="F728" s="16"/>
    </row>
    <row r="729">
      <c r="C729" s="15"/>
      <c r="F729" s="16"/>
    </row>
    <row r="730">
      <c r="C730" s="15"/>
      <c r="F730" s="16"/>
    </row>
    <row r="731">
      <c r="C731" s="15"/>
      <c r="F731" s="16"/>
    </row>
    <row r="732">
      <c r="C732" s="15"/>
      <c r="F732" s="16"/>
    </row>
    <row r="733">
      <c r="C733" s="15"/>
      <c r="F733" s="16"/>
    </row>
    <row r="734">
      <c r="C734" s="15"/>
      <c r="F734" s="16"/>
    </row>
    <row r="735">
      <c r="C735" s="15"/>
      <c r="F735" s="16"/>
    </row>
    <row r="736">
      <c r="C736" s="15"/>
      <c r="F736" s="16"/>
    </row>
    <row r="737">
      <c r="C737" s="15"/>
      <c r="F737" s="16"/>
    </row>
    <row r="738">
      <c r="C738" s="15"/>
      <c r="F738" s="16"/>
    </row>
    <row r="739">
      <c r="C739" s="15"/>
      <c r="F739" s="16"/>
    </row>
    <row r="740">
      <c r="C740" s="15"/>
      <c r="F740" s="16"/>
    </row>
    <row r="741">
      <c r="C741" s="15"/>
      <c r="F741" s="16"/>
    </row>
    <row r="742">
      <c r="C742" s="15"/>
      <c r="F742" s="16"/>
    </row>
    <row r="743">
      <c r="C743" s="15"/>
      <c r="F743" s="16"/>
    </row>
    <row r="744">
      <c r="C744" s="15"/>
      <c r="F744" s="16"/>
    </row>
    <row r="745">
      <c r="C745" s="15"/>
      <c r="F745" s="16"/>
    </row>
    <row r="746">
      <c r="C746" s="15"/>
      <c r="F746" s="16"/>
    </row>
    <row r="747">
      <c r="C747" s="15"/>
      <c r="F747" s="16"/>
    </row>
    <row r="748">
      <c r="C748" s="15"/>
      <c r="F748" s="16"/>
    </row>
    <row r="749">
      <c r="C749" s="15"/>
      <c r="F749" s="16"/>
    </row>
    <row r="750">
      <c r="C750" s="15"/>
      <c r="F750" s="16"/>
    </row>
    <row r="751">
      <c r="C751" s="15"/>
      <c r="F751" s="16"/>
    </row>
    <row r="752">
      <c r="C752" s="15"/>
      <c r="F752" s="16"/>
    </row>
    <row r="753">
      <c r="C753" s="15"/>
      <c r="F753" s="16"/>
    </row>
    <row r="754">
      <c r="C754" s="15"/>
      <c r="F754" s="16"/>
    </row>
    <row r="755">
      <c r="C755" s="15"/>
      <c r="F755" s="16"/>
    </row>
    <row r="756">
      <c r="C756" s="15"/>
      <c r="F756" s="16"/>
    </row>
    <row r="757">
      <c r="C757" s="15"/>
      <c r="F757" s="16"/>
    </row>
    <row r="758">
      <c r="C758" s="15"/>
      <c r="F758" s="16"/>
    </row>
    <row r="759">
      <c r="C759" s="15"/>
      <c r="F759" s="16"/>
    </row>
    <row r="760">
      <c r="C760" s="15"/>
      <c r="F760" s="16"/>
    </row>
    <row r="761">
      <c r="C761" s="15"/>
      <c r="F761" s="16"/>
    </row>
    <row r="762">
      <c r="C762" s="15"/>
      <c r="F762" s="16"/>
    </row>
    <row r="763">
      <c r="C763" s="15"/>
      <c r="F763" s="16"/>
    </row>
    <row r="764">
      <c r="C764" s="15"/>
      <c r="F764" s="16"/>
    </row>
    <row r="765">
      <c r="C765" s="15"/>
      <c r="F765" s="16"/>
    </row>
    <row r="766">
      <c r="C766" s="15"/>
      <c r="F766" s="16"/>
    </row>
    <row r="767">
      <c r="C767" s="15"/>
      <c r="F767" s="16"/>
    </row>
    <row r="768">
      <c r="C768" s="15"/>
      <c r="F768" s="16"/>
    </row>
    <row r="769">
      <c r="C769" s="15"/>
      <c r="F769" s="16"/>
    </row>
    <row r="770">
      <c r="C770" s="15"/>
      <c r="F770" s="16"/>
    </row>
    <row r="771">
      <c r="C771" s="15"/>
      <c r="F771" s="16"/>
    </row>
    <row r="772">
      <c r="C772" s="15"/>
      <c r="F772" s="16"/>
    </row>
    <row r="773">
      <c r="C773" s="15"/>
      <c r="F773" s="16"/>
    </row>
    <row r="774">
      <c r="C774" s="15"/>
      <c r="F774" s="16"/>
    </row>
    <row r="775">
      <c r="C775" s="15"/>
      <c r="F775" s="16"/>
    </row>
    <row r="776">
      <c r="C776" s="15"/>
      <c r="F776" s="16"/>
    </row>
    <row r="777">
      <c r="C777" s="15"/>
      <c r="F777" s="16"/>
    </row>
    <row r="778">
      <c r="C778" s="15"/>
      <c r="F778" s="16"/>
    </row>
    <row r="779">
      <c r="C779" s="15"/>
      <c r="F779" s="16"/>
    </row>
    <row r="780">
      <c r="C780" s="15"/>
      <c r="F780" s="16"/>
    </row>
    <row r="781">
      <c r="C781" s="15"/>
      <c r="F781" s="16"/>
    </row>
    <row r="782">
      <c r="C782" s="15"/>
      <c r="F782" s="16"/>
    </row>
    <row r="783">
      <c r="C783" s="15"/>
      <c r="F783" s="16"/>
    </row>
    <row r="784">
      <c r="C784" s="15"/>
      <c r="F784" s="16"/>
    </row>
    <row r="785">
      <c r="C785" s="15"/>
      <c r="F785" s="16"/>
    </row>
    <row r="786">
      <c r="C786" s="15"/>
      <c r="F786" s="16"/>
    </row>
    <row r="787">
      <c r="C787" s="15"/>
      <c r="F787" s="16"/>
    </row>
    <row r="788">
      <c r="C788" s="15"/>
      <c r="F788" s="16"/>
    </row>
    <row r="789">
      <c r="C789" s="15"/>
      <c r="F789" s="16"/>
    </row>
    <row r="790">
      <c r="C790" s="15"/>
      <c r="F790" s="16"/>
    </row>
    <row r="791">
      <c r="C791" s="15"/>
      <c r="F791" s="16"/>
    </row>
    <row r="792">
      <c r="C792" s="15"/>
      <c r="F792" s="16"/>
    </row>
    <row r="793">
      <c r="C793" s="15"/>
      <c r="F793" s="16"/>
    </row>
    <row r="794">
      <c r="C794" s="15"/>
      <c r="F794" s="16"/>
    </row>
    <row r="795">
      <c r="C795" s="15"/>
      <c r="F795" s="16"/>
    </row>
    <row r="796">
      <c r="C796" s="15"/>
      <c r="F796" s="16"/>
    </row>
    <row r="797">
      <c r="C797" s="15"/>
      <c r="F797" s="16"/>
    </row>
    <row r="798">
      <c r="C798" s="15"/>
      <c r="F798" s="16"/>
    </row>
    <row r="799">
      <c r="C799" s="15"/>
      <c r="F799" s="16"/>
    </row>
    <row r="800">
      <c r="C800" s="15"/>
      <c r="F800" s="16"/>
    </row>
    <row r="801">
      <c r="C801" s="15"/>
      <c r="F801" s="16"/>
    </row>
    <row r="802">
      <c r="C802" s="15"/>
      <c r="F802" s="16"/>
    </row>
    <row r="803">
      <c r="C803" s="15"/>
      <c r="F803" s="16"/>
    </row>
    <row r="804">
      <c r="C804" s="15"/>
      <c r="F804" s="16"/>
    </row>
    <row r="805">
      <c r="C805" s="15"/>
      <c r="F805" s="16"/>
    </row>
    <row r="806">
      <c r="C806" s="15"/>
      <c r="F806" s="16"/>
    </row>
    <row r="807">
      <c r="C807" s="15"/>
      <c r="F807" s="16"/>
    </row>
    <row r="808">
      <c r="C808" s="15"/>
      <c r="F808" s="16"/>
    </row>
    <row r="809">
      <c r="C809" s="15"/>
      <c r="F809" s="16"/>
    </row>
    <row r="810">
      <c r="C810" s="15"/>
      <c r="F810" s="16"/>
    </row>
    <row r="811">
      <c r="C811" s="15"/>
      <c r="F811" s="16"/>
    </row>
    <row r="812">
      <c r="C812" s="15"/>
      <c r="F812" s="16"/>
    </row>
    <row r="813">
      <c r="C813" s="15"/>
      <c r="F813" s="16"/>
    </row>
    <row r="814">
      <c r="C814" s="15"/>
      <c r="F814" s="16"/>
    </row>
    <row r="815">
      <c r="C815" s="15"/>
      <c r="F815" s="16"/>
    </row>
    <row r="816">
      <c r="C816" s="15"/>
      <c r="F816" s="16"/>
    </row>
    <row r="817">
      <c r="C817" s="15"/>
      <c r="F817" s="16"/>
    </row>
    <row r="818">
      <c r="C818" s="15"/>
      <c r="F818" s="16"/>
    </row>
    <row r="819">
      <c r="C819" s="15"/>
      <c r="F819" s="16"/>
    </row>
    <row r="820">
      <c r="C820" s="15"/>
      <c r="F820" s="16"/>
    </row>
    <row r="821">
      <c r="C821" s="15"/>
      <c r="F821" s="16"/>
    </row>
    <row r="822">
      <c r="C822" s="15"/>
      <c r="F822" s="16"/>
    </row>
    <row r="823">
      <c r="C823" s="15"/>
      <c r="F823" s="16"/>
    </row>
    <row r="824">
      <c r="C824" s="15"/>
      <c r="F824" s="16"/>
    </row>
    <row r="825">
      <c r="C825" s="15"/>
      <c r="F825" s="16"/>
    </row>
    <row r="826">
      <c r="C826" s="15"/>
      <c r="F826" s="16"/>
    </row>
    <row r="827">
      <c r="C827" s="15"/>
      <c r="F827" s="16"/>
    </row>
    <row r="828">
      <c r="C828" s="15"/>
      <c r="F828" s="16"/>
    </row>
    <row r="829">
      <c r="C829" s="15"/>
      <c r="F829" s="16"/>
    </row>
    <row r="830">
      <c r="C830" s="15"/>
      <c r="F830" s="16"/>
    </row>
    <row r="831">
      <c r="C831" s="15"/>
      <c r="F831" s="16"/>
    </row>
    <row r="832">
      <c r="C832" s="15"/>
      <c r="F832" s="16"/>
    </row>
    <row r="833">
      <c r="C833" s="15"/>
      <c r="F833" s="16"/>
    </row>
    <row r="834">
      <c r="C834" s="15"/>
      <c r="F834" s="16"/>
    </row>
    <row r="835">
      <c r="C835" s="15"/>
      <c r="F835" s="16"/>
    </row>
    <row r="836">
      <c r="C836" s="15"/>
      <c r="F836" s="16"/>
    </row>
    <row r="837">
      <c r="C837" s="15"/>
      <c r="F837" s="16"/>
    </row>
    <row r="838">
      <c r="C838" s="15"/>
      <c r="F838" s="16"/>
    </row>
    <row r="839">
      <c r="C839" s="15"/>
      <c r="F839" s="16"/>
    </row>
    <row r="840">
      <c r="C840" s="15"/>
      <c r="F840" s="16"/>
    </row>
    <row r="841">
      <c r="C841" s="15"/>
      <c r="F841" s="16"/>
    </row>
    <row r="842">
      <c r="C842" s="15"/>
      <c r="F842" s="16"/>
    </row>
    <row r="843">
      <c r="C843" s="15"/>
      <c r="F843" s="16"/>
    </row>
    <row r="844">
      <c r="C844" s="15"/>
      <c r="F844" s="16"/>
    </row>
    <row r="845">
      <c r="C845" s="15"/>
      <c r="F845" s="16"/>
    </row>
    <row r="846">
      <c r="C846" s="15"/>
      <c r="F846" s="16"/>
    </row>
    <row r="847">
      <c r="C847" s="15"/>
      <c r="F847" s="16"/>
    </row>
    <row r="848">
      <c r="C848" s="15"/>
      <c r="F848" s="16"/>
    </row>
    <row r="849">
      <c r="C849" s="15"/>
      <c r="F849" s="16"/>
    </row>
    <row r="850">
      <c r="C850" s="15"/>
      <c r="F850" s="16"/>
    </row>
    <row r="851">
      <c r="C851" s="15"/>
      <c r="F851" s="16"/>
    </row>
    <row r="852">
      <c r="C852" s="15"/>
      <c r="F852" s="16"/>
    </row>
    <row r="853">
      <c r="C853" s="15"/>
      <c r="F853" s="16"/>
    </row>
    <row r="854">
      <c r="C854" s="15"/>
      <c r="F854" s="16"/>
    </row>
    <row r="855">
      <c r="C855" s="15"/>
      <c r="F855" s="16"/>
    </row>
    <row r="856">
      <c r="C856" s="15"/>
      <c r="F856" s="16"/>
    </row>
    <row r="857">
      <c r="C857" s="15"/>
      <c r="F857" s="16"/>
    </row>
    <row r="858">
      <c r="C858" s="15"/>
      <c r="F858" s="16"/>
    </row>
    <row r="859">
      <c r="C859" s="15"/>
      <c r="F859" s="16"/>
    </row>
    <row r="860">
      <c r="C860" s="15"/>
      <c r="F860" s="16"/>
    </row>
    <row r="861">
      <c r="C861" s="15"/>
      <c r="F861" s="16"/>
    </row>
    <row r="862">
      <c r="C862" s="15"/>
      <c r="F862" s="16"/>
    </row>
    <row r="863">
      <c r="C863" s="15"/>
      <c r="F863" s="16"/>
    </row>
    <row r="864">
      <c r="C864" s="15"/>
      <c r="F864" s="16"/>
    </row>
    <row r="865">
      <c r="C865" s="15"/>
      <c r="F865" s="16"/>
    </row>
    <row r="866">
      <c r="C866" s="15"/>
      <c r="F866" s="16"/>
    </row>
    <row r="867">
      <c r="C867" s="15"/>
      <c r="F867" s="16"/>
    </row>
    <row r="868">
      <c r="C868" s="15"/>
      <c r="F868" s="16"/>
    </row>
    <row r="869">
      <c r="C869" s="15"/>
      <c r="F869" s="16"/>
    </row>
    <row r="870">
      <c r="C870" s="15"/>
      <c r="F870" s="16"/>
    </row>
    <row r="871">
      <c r="C871" s="15"/>
      <c r="F871" s="16"/>
    </row>
    <row r="872">
      <c r="C872" s="15"/>
      <c r="F872" s="16"/>
    </row>
    <row r="873">
      <c r="C873" s="15"/>
      <c r="F873" s="16"/>
    </row>
    <row r="874">
      <c r="C874" s="15"/>
      <c r="F874" s="16"/>
    </row>
    <row r="875">
      <c r="C875" s="15"/>
      <c r="F875" s="16"/>
    </row>
    <row r="876">
      <c r="C876" s="15"/>
      <c r="F876" s="16"/>
    </row>
    <row r="877">
      <c r="C877" s="15"/>
      <c r="F877" s="16"/>
    </row>
    <row r="878">
      <c r="C878" s="15"/>
      <c r="F878" s="16"/>
    </row>
    <row r="879">
      <c r="C879" s="15"/>
      <c r="F879" s="16"/>
    </row>
    <row r="880">
      <c r="C880" s="15"/>
      <c r="F880" s="16"/>
    </row>
    <row r="881">
      <c r="C881" s="15"/>
      <c r="F881" s="16"/>
    </row>
    <row r="882">
      <c r="C882" s="15"/>
      <c r="F882" s="16"/>
    </row>
    <row r="883">
      <c r="C883" s="15"/>
      <c r="F883" s="16"/>
    </row>
    <row r="884">
      <c r="C884" s="15"/>
      <c r="F884" s="16"/>
    </row>
    <row r="885">
      <c r="C885" s="15"/>
      <c r="F885" s="16"/>
    </row>
    <row r="886">
      <c r="C886" s="15"/>
      <c r="F886" s="16"/>
    </row>
    <row r="887">
      <c r="C887" s="15"/>
      <c r="F887" s="16"/>
    </row>
    <row r="888">
      <c r="C888" s="15"/>
      <c r="F888" s="16"/>
    </row>
    <row r="889">
      <c r="C889" s="15"/>
      <c r="F889" s="16"/>
    </row>
    <row r="890">
      <c r="C890" s="15"/>
      <c r="F890" s="16"/>
    </row>
    <row r="891">
      <c r="C891" s="15"/>
      <c r="F891" s="16"/>
    </row>
    <row r="892">
      <c r="C892" s="15"/>
      <c r="F892" s="16"/>
    </row>
    <row r="893">
      <c r="C893" s="15"/>
      <c r="F893" s="16"/>
    </row>
    <row r="894">
      <c r="C894" s="15"/>
      <c r="F894" s="16"/>
    </row>
    <row r="895">
      <c r="C895" s="15"/>
      <c r="F895" s="16"/>
    </row>
    <row r="896">
      <c r="C896" s="15"/>
      <c r="F896" s="16"/>
    </row>
    <row r="897">
      <c r="C897" s="15"/>
      <c r="F897" s="16"/>
    </row>
    <row r="898">
      <c r="C898" s="15"/>
      <c r="F898" s="16"/>
    </row>
    <row r="899">
      <c r="C899" s="15"/>
      <c r="F899" s="16"/>
    </row>
    <row r="900">
      <c r="C900" s="15"/>
      <c r="F900" s="16"/>
    </row>
    <row r="901">
      <c r="C901" s="15"/>
      <c r="F901" s="16"/>
    </row>
    <row r="902">
      <c r="C902" s="15"/>
      <c r="F902" s="16"/>
    </row>
    <row r="903">
      <c r="C903" s="15"/>
      <c r="F903" s="16"/>
    </row>
    <row r="904">
      <c r="C904" s="15"/>
      <c r="F904" s="16"/>
    </row>
    <row r="905">
      <c r="C905" s="15"/>
      <c r="F905" s="16"/>
    </row>
    <row r="906">
      <c r="C906" s="15"/>
      <c r="F906" s="16"/>
    </row>
    <row r="907">
      <c r="C907" s="15"/>
      <c r="F907" s="16"/>
    </row>
    <row r="908">
      <c r="C908" s="15"/>
      <c r="F908" s="16"/>
    </row>
    <row r="909">
      <c r="C909" s="15"/>
      <c r="F909" s="16"/>
    </row>
    <row r="910">
      <c r="C910" s="15"/>
      <c r="F910" s="16"/>
    </row>
    <row r="911">
      <c r="C911" s="15"/>
      <c r="F911" s="16"/>
    </row>
    <row r="912">
      <c r="C912" s="15"/>
      <c r="F912" s="16"/>
    </row>
    <row r="913">
      <c r="C913" s="15"/>
      <c r="F913" s="16"/>
    </row>
    <row r="914">
      <c r="C914" s="15"/>
      <c r="F914" s="16"/>
    </row>
    <row r="915">
      <c r="C915" s="15"/>
      <c r="F915" s="16"/>
    </row>
    <row r="916">
      <c r="C916" s="15"/>
      <c r="F916" s="16"/>
    </row>
    <row r="917">
      <c r="C917" s="15"/>
      <c r="F917" s="16"/>
    </row>
    <row r="918">
      <c r="C918" s="15"/>
      <c r="F918" s="16"/>
    </row>
    <row r="919">
      <c r="C919" s="15"/>
      <c r="F919" s="16"/>
    </row>
    <row r="920">
      <c r="C920" s="15"/>
      <c r="F920" s="16"/>
    </row>
    <row r="921">
      <c r="C921" s="15"/>
      <c r="F921" s="16"/>
    </row>
    <row r="922">
      <c r="C922" s="15"/>
      <c r="F922" s="16"/>
    </row>
    <row r="923">
      <c r="C923" s="15"/>
      <c r="F923" s="16"/>
    </row>
    <row r="924">
      <c r="C924" s="15"/>
      <c r="F924" s="16"/>
    </row>
    <row r="925">
      <c r="C925" s="15"/>
      <c r="F925" s="16"/>
    </row>
    <row r="926">
      <c r="C926" s="15"/>
      <c r="F926" s="16"/>
    </row>
    <row r="927">
      <c r="C927" s="15"/>
      <c r="F927" s="16"/>
    </row>
    <row r="928">
      <c r="C928" s="15"/>
      <c r="F928" s="16"/>
    </row>
    <row r="929">
      <c r="C929" s="15"/>
      <c r="F929" s="16"/>
    </row>
    <row r="930">
      <c r="C930" s="15"/>
      <c r="F930" s="16"/>
    </row>
    <row r="931">
      <c r="C931" s="15"/>
      <c r="F931" s="16"/>
    </row>
    <row r="932">
      <c r="C932" s="15"/>
      <c r="F932" s="16"/>
    </row>
    <row r="933">
      <c r="C933" s="15"/>
      <c r="F933" s="16"/>
    </row>
    <row r="934">
      <c r="C934" s="15"/>
      <c r="F934" s="16"/>
    </row>
    <row r="935">
      <c r="C935" s="15"/>
      <c r="F935" s="16"/>
    </row>
    <row r="936">
      <c r="C936" s="15"/>
      <c r="F936" s="16"/>
    </row>
    <row r="937">
      <c r="C937" s="15"/>
      <c r="F937" s="16"/>
    </row>
    <row r="938">
      <c r="C938" s="15"/>
      <c r="F938" s="16"/>
    </row>
    <row r="939">
      <c r="C939" s="15"/>
      <c r="F939" s="16"/>
    </row>
    <row r="940">
      <c r="C940" s="15"/>
      <c r="F940" s="16"/>
    </row>
    <row r="941">
      <c r="C941" s="15"/>
      <c r="F941" s="16"/>
    </row>
    <row r="942">
      <c r="C942" s="15"/>
      <c r="F942" s="16"/>
    </row>
    <row r="943">
      <c r="C943" s="15"/>
      <c r="F943" s="16"/>
    </row>
    <row r="944">
      <c r="C944" s="15"/>
      <c r="F944" s="16"/>
    </row>
    <row r="945">
      <c r="C945" s="15"/>
      <c r="F945" s="16"/>
    </row>
    <row r="946">
      <c r="C946" s="15"/>
      <c r="F946" s="16"/>
    </row>
    <row r="947">
      <c r="C947" s="15"/>
      <c r="F947" s="16"/>
    </row>
    <row r="948">
      <c r="C948" s="15"/>
      <c r="F948" s="16"/>
    </row>
    <row r="949">
      <c r="C949" s="15"/>
      <c r="F949" s="16"/>
    </row>
    <row r="950">
      <c r="C950" s="15"/>
      <c r="F950" s="16"/>
    </row>
    <row r="951">
      <c r="C951" s="15"/>
      <c r="F951" s="16"/>
    </row>
    <row r="952">
      <c r="C952" s="15"/>
      <c r="F952" s="16"/>
    </row>
    <row r="953">
      <c r="C953" s="15"/>
      <c r="F953" s="16"/>
    </row>
    <row r="954">
      <c r="C954" s="15"/>
      <c r="F954" s="16"/>
    </row>
    <row r="955">
      <c r="C955" s="15"/>
      <c r="F955" s="16"/>
    </row>
    <row r="956">
      <c r="C956" s="15"/>
      <c r="F956" s="16"/>
    </row>
    <row r="957">
      <c r="C957" s="15"/>
      <c r="F957" s="16"/>
    </row>
    <row r="958">
      <c r="C958" s="15"/>
      <c r="F958" s="16"/>
    </row>
    <row r="959">
      <c r="C959" s="15"/>
      <c r="F959" s="16"/>
    </row>
    <row r="960">
      <c r="C960" s="15"/>
      <c r="F960" s="16"/>
    </row>
    <row r="961">
      <c r="C961" s="15"/>
      <c r="F961" s="16"/>
    </row>
    <row r="962">
      <c r="C962" s="15"/>
      <c r="F962" s="16"/>
    </row>
    <row r="963">
      <c r="C963" s="15"/>
      <c r="F963" s="16"/>
    </row>
    <row r="964">
      <c r="C964" s="15"/>
      <c r="F964" s="16"/>
    </row>
    <row r="965">
      <c r="C965" s="15"/>
      <c r="F965" s="16"/>
    </row>
    <row r="966">
      <c r="C966" s="15"/>
      <c r="F966" s="16"/>
    </row>
    <row r="967">
      <c r="C967" s="15"/>
      <c r="F967" s="16"/>
    </row>
    <row r="968">
      <c r="C968" s="15"/>
      <c r="F968" s="16"/>
    </row>
    <row r="969">
      <c r="C969" s="15"/>
      <c r="F969" s="16"/>
    </row>
    <row r="970">
      <c r="C970" s="15"/>
      <c r="F970" s="16"/>
    </row>
    <row r="971">
      <c r="C971" s="15"/>
      <c r="F971" s="16"/>
    </row>
    <row r="972">
      <c r="C972" s="15"/>
      <c r="F972" s="16"/>
    </row>
    <row r="973">
      <c r="C973" s="15"/>
      <c r="F973" s="16"/>
    </row>
    <row r="974">
      <c r="C974" s="15"/>
      <c r="F974" s="16"/>
    </row>
    <row r="975">
      <c r="C975" s="15"/>
      <c r="F975" s="16"/>
    </row>
    <row r="976">
      <c r="C976" s="15"/>
      <c r="F976" s="16"/>
    </row>
    <row r="977">
      <c r="C977" s="15"/>
      <c r="F977" s="16"/>
    </row>
    <row r="978">
      <c r="C978" s="15"/>
      <c r="F978" s="16"/>
    </row>
    <row r="979">
      <c r="C979" s="15"/>
      <c r="F979" s="16"/>
    </row>
    <row r="980">
      <c r="C980" s="15"/>
      <c r="F980" s="16"/>
    </row>
    <row r="981">
      <c r="C981" s="15"/>
      <c r="F981" s="16"/>
    </row>
    <row r="982">
      <c r="C982" s="15"/>
      <c r="F982" s="16"/>
    </row>
    <row r="983">
      <c r="C983" s="15"/>
      <c r="F983" s="16"/>
    </row>
    <row r="984">
      <c r="C984" s="15"/>
      <c r="F984" s="16"/>
    </row>
    <row r="985">
      <c r="C985" s="15"/>
      <c r="F985" s="16"/>
    </row>
    <row r="986">
      <c r="C986" s="15"/>
      <c r="F986" s="16"/>
    </row>
    <row r="987">
      <c r="C987" s="15"/>
      <c r="F987" s="16"/>
    </row>
    <row r="988">
      <c r="C988" s="15"/>
      <c r="F988" s="16"/>
    </row>
    <row r="989">
      <c r="C989" s="15"/>
      <c r="F989" s="16"/>
    </row>
    <row r="990">
      <c r="C990" s="15"/>
      <c r="F990" s="16"/>
    </row>
    <row r="991">
      <c r="C991" s="15"/>
      <c r="F991" s="16"/>
    </row>
    <row r="992">
      <c r="C992" s="15"/>
      <c r="F992" s="16"/>
    </row>
    <row r="993">
      <c r="C993" s="15"/>
      <c r="F993" s="16"/>
    </row>
    <row r="994">
      <c r="C994" s="15"/>
      <c r="F994" s="16"/>
    </row>
    <row r="995">
      <c r="C995" s="15"/>
      <c r="F995" s="16"/>
    </row>
    <row r="996">
      <c r="C996" s="15"/>
      <c r="F996" s="16"/>
    </row>
    <row r="997">
      <c r="C997" s="15"/>
      <c r="F997" s="16"/>
    </row>
    <row r="998">
      <c r="C998" s="15"/>
      <c r="F998" s="16"/>
    </row>
    <row r="999">
      <c r="C999" s="15"/>
      <c r="F999" s="16"/>
    </row>
    <row r="1000">
      <c r="C1000" s="15"/>
      <c r="F1000" s="16"/>
    </row>
  </sheetData>
  <mergeCells count="1">
    <mergeCell ref="A3:E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13"/>
    <col customWidth="1" min="2" max="5" width="20.38"/>
  </cols>
  <sheetData>
    <row r="1">
      <c r="A1" s="18" t="s">
        <v>3</v>
      </c>
      <c r="B1" s="18" t="s">
        <v>4</v>
      </c>
      <c r="C1" s="14" t="s">
        <v>5</v>
      </c>
      <c r="D1" s="18" t="s">
        <v>6</v>
      </c>
      <c r="E1" s="14" t="s">
        <v>7</v>
      </c>
    </row>
    <row r="2">
      <c r="A2" s="14" t="s">
        <v>9</v>
      </c>
      <c r="B2" s="14" t="s">
        <v>10</v>
      </c>
      <c r="C2" s="19">
        <v>44725.0</v>
      </c>
      <c r="D2" s="14" t="s">
        <v>11</v>
      </c>
      <c r="E2" s="14" t="s">
        <v>12</v>
      </c>
    </row>
    <row r="3">
      <c r="A3" s="14" t="s">
        <v>13</v>
      </c>
      <c r="B3" s="14" t="s">
        <v>14</v>
      </c>
      <c r="C3" s="19">
        <v>45798.0</v>
      </c>
      <c r="D3" s="14" t="s">
        <v>11</v>
      </c>
      <c r="E3" s="14" t="s">
        <v>12</v>
      </c>
    </row>
    <row r="4">
      <c r="A4" s="14" t="s">
        <v>15</v>
      </c>
      <c r="B4" s="14" t="s">
        <v>16</v>
      </c>
      <c r="C4" s="19">
        <v>45776.0</v>
      </c>
      <c r="D4" s="14" t="s">
        <v>11</v>
      </c>
      <c r="E4" s="14" t="s">
        <v>17</v>
      </c>
    </row>
    <row r="5">
      <c r="A5" s="14" t="s">
        <v>18</v>
      </c>
      <c r="B5" s="14" t="s">
        <v>19</v>
      </c>
      <c r="C5" s="19">
        <v>45085.0</v>
      </c>
      <c r="D5" s="14" t="s">
        <v>11</v>
      </c>
    </row>
    <row r="6">
      <c r="A6" s="14" t="s">
        <v>20</v>
      </c>
      <c r="B6" s="14" t="s">
        <v>21</v>
      </c>
      <c r="C6" s="19">
        <v>44441.0</v>
      </c>
      <c r="D6" s="14" t="s">
        <v>22</v>
      </c>
      <c r="E6" s="14" t="s">
        <v>23</v>
      </c>
    </row>
    <row r="7">
      <c r="A7" s="14" t="s">
        <v>24</v>
      </c>
      <c r="B7" s="14" t="s">
        <v>25</v>
      </c>
      <c r="C7" s="19">
        <v>45282.0</v>
      </c>
      <c r="D7" s="14" t="s">
        <v>11</v>
      </c>
      <c r="E7" s="14" t="s">
        <v>26</v>
      </c>
    </row>
    <row r="8">
      <c r="A8" s="14" t="s">
        <v>27</v>
      </c>
      <c r="B8" s="14" t="s">
        <v>28</v>
      </c>
      <c r="C8" s="19">
        <v>44932.0</v>
      </c>
      <c r="D8" s="14" t="s">
        <v>11</v>
      </c>
      <c r="E8" s="14" t="s">
        <v>12</v>
      </c>
    </row>
    <row r="9">
      <c r="A9" s="14" t="s">
        <v>29</v>
      </c>
      <c r="B9" s="14" t="s">
        <v>30</v>
      </c>
      <c r="C9" s="19">
        <v>45747.0</v>
      </c>
      <c r="D9" s="14" t="s">
        <v>11</v>
      </c>
    </row>
    <row r="10">
      <c r="A10" s="14" t="s">
        <v>31</v>
      </c>
      <c r="B10" s="14" t="s">
        <v>32</v>
      </c>
      <c r="C10" s="19">
        <v>45226.0</v>
      </c>
      <c r="D10" s="14" t="s">
        <v>11</v>
      </c>
      <c r="E10" s="14" t="s">
        <v>12</v>
      </c>
    </row>
    <row r="11">
      <c r="A11" s="14" t="s">
        <v>33</v>
      </c>
      <c r="B11" s="14" t="s">
        <v>34</v>
      </c>
      <c r="C11" s="19">
        <v>45650.0</v>
      </c>
      <c r="D11" s="14" t="s">
        <v>11</v>
      </c>
      <c r="E11" s="14" t="s">
        <v>35</v>
      </c>
    </row>
    <row r="12">
      <c r="A12" s="14" t="s">
        <v>36</v>
      </c>
      <c r="B12" s="14" t="s">
        <v>37</v>
      </c>
      <c r="C12" s="19">
        <v>45497.0</v>
      </c>
      <c r="D12" s="14" t="s">
        <v>11</v>
      </c>
      <c r="E12" s="14" t="s">
        <v>38</v>
      </c>
    </row>
    <row r="13">
      <c r="A13" s="14" t="s">
        <v>36</v>
      </c>
      <c r="B13" s="14" t="s">
        <v>39</v>
      </c>
      <c r="C13" s="19">
        <v>45506.0</v>
      </c>
      <c r="D13" s="14" t="s">
        <v>40</v>
      </c>
      <c r="E13" s="14" t="s">
        <v>38</v>
      </c>
    </row>
    <row r="14">
      <c r="A14" s="14" t="s">
        <v>41</v>
      </c>
      <c r="B14" s="14" t="s">
        <v>42</v>
      </c>
      <c r="C14" s="19">
        <v>45043.0</v>
      </c>
      <c r="D14" s="14" t="s">
        <v>11</v>
      </c>
      <c r="E14" s="14" t="s">
        <v>12</v>
      </c>
    </row>
    <row r="15">
      <c r="A15" s="14" t="s">
        <v>43</v>
      </c>
      <c r="B15" s="14" t="s">
        <v>44</v>
      </c>
      <c r="C15" s="19">
        <v>44736.0</v>
      </c>
      <c r="D15" s="14" t="s">
        <v>11</v>
      </c>
      <c r="E15" s="14" t="s">
        <v>12</v>
      </c>
    </row>
    <row r="16">
      <c r="A16" s="14" t="s">
        <v>45</v>
      </c>
      <c r="B16" s="14" t="s">
        <v>46</v>
      </c>
      <c r="C16" s="19">
        <v>45097.0</v>
      </c>
      <c r="D16" s="14" t="s">
        <v>11</v>
      </c>
      <c r="E16" s="14" t="s">
        <v>47</v>
      </c>
    </row>
    <row r="17">
      <c r="A17" s="14" t="s">
        <v>48</v>
      </c>
      <c r="B17" s="14" t="s">
        <v>49</v>
      </c>
      <c r="C17" s="19">
        <v>45798.0</v>
      </c>
      <c r="D17" s="14" t="s">
        <v>11</v>
      </c>
      <c r="E17" s="14" t="s">
        <v>12</v>
      </c>
    </row>
    <row r="18">
      <c r="A18" s="14" t="s">
        <v>50</v>
      </c>
      <c r="B18" s="14" t="s">
        <v>51</v>
      </c>
      <c r="C18" s="19">
        <v>45790.0</v>
      </c>
      <c r="D18" s="14" t="s">
        <v>11</v>
      </c>
      <c r="E18" s="14" t="s">
        <v>12</v>
      </c>
    </row>
    <row r="19">
      <c r="A19" s="14" t="s">
        <v>52</v>
      </c>
      <c r="B19" s="14" t="s">
        <v>53</v>
      </c>
      <c r="C19" s="19">
        <v>45680.0</v>
      </c>
      <c r="D19" s="14" t="s">
        <v>11</v>
      </c>
      <c r="E19" s="14" t="s">
        <v>23</v>
      </c>
    </row>
    <row r="20">
      <c r="A20" s="14" t="s">
        <v>54</v>
      </c>
      <c r="B20" s="14" t="s">
        <v>55</v>
      </c>
      <c r="C20" s="19">
        <v>44441.0</v>
      </c>
      <c r="D20" s="14" t="s">
        <v>22</v>
      </c>
      <c r="E20" s="14" t="s">
        <v>23</v>
      </c>
    </row>
    <row r="21">
      <c r="A21" s="14" t="s">
        <v>56</v>
      </c>
      <c r="B21" s="14" t="s">
        <v>57</v>
      </c>
      <c r="C21" s="19">
        <v>45680.0</v>
      </c>
      <c r="D21" s="14" t="s">
        <v>11</v>
      </c>
      <c r="E21" s="14" t="s">
        <v>58</v>
      </c>
    </row>
    <row r="22">
      <c r="A22" s="14" t="s">
        <v>59</v>
      </c>
      <c r="B22" s="14" t="s">
        <v>60</v>
      </c>
      <c r="C22" s="19">
        <v>45158.0</v>
      </c>
      <c r="D22" s="14" t="s">
        <v>11</v>
      </c>
      <c r="E22" s="14" t="s">
        <v>61</v>
      </c>
    </row>
    <row r="23">
      <c r="A23" s="14" t="s">
        <v>62</v>
      </c>
      <c r="B23" s="14" t="s">
        <v>63</v>
      </c>
      <c r="C23" s="19">
        <v>45140.0</v>
      </c>
      <c r="D23" s="14" t="s">
        <v>40</v>
      </c>
      <c r="E23" s="14" t="s">
        <v>12</v>
      </c>
    </row>
    <row r="24">
      <c r="A24" s="14" t="s">
        <v>62</v>
      </c>
      <c r="B24" s="14" t="s">
        <v>64</v>
      </c>
      <c r="C24" s="19">
        <v>45224.0</v>
      </c>
      <c r="D24" s="14" t="s">
        <v>11</v>
      </c>
      <c r="E24" s="14" t="s">
        <v>12</v>
      </c>
    </row>
    <row r="25">
      <c r="A25" s="14" t="s">
        <v>65</v>
      </c>
      <c r="B25" s="14" t="s">
        <v>66</v>
      </c>
      <c r="C25" s="19">
        <v>44824.0</v>
      </c>
      <c r="D25" s="14" t="s">
        <v>11</v>
      </c>
      <c r="E25" s="14" t="s">
        <v>12</v>
      </c>
    </row>
    <row r="26">
      <c r="A26" s="14" t="s">
        <v>67</v>
      </c>
      <c r="B26" s="14" t="s">
        <v>68</v>
      </c>
      <c r="C26" s="19">
        <v>44566.0</v>
      </c>
      <c r="D26" s="14" t="s">
        <v>69</v>
      </c>
      <c r="E26" s="14" t="s">
        <v>70</v>
      </c>
    </row>
    <row r="27">
      <c r="A27" s="14" t="s">
        <v>71</v>
      </c>
      <c r="B27" s="14" t="s">
        <v>72</v>
      </c>
      <c r="C27" s="19">
        <v>45158.0</v>
      </c>
      <c r="D27" s="14" t="s">
        <v>11</v>
      </c>
      <c r="E27" s="14" t="s">
        <v>73</v>
      </c>
    </row>
    <row r="28">
      <c r="A28" s="14" t="s">
        <v>74</v>
      </c>
      <c r="B28" s="14" t="s">
        <v>75</v>
      </c>
      <c r="C28" s="19">
        <v>44441.0</v>
      </c>
      <c r="D28" s="14" t="s">
        <v>22</v>
      </c>
      <c r="E28" s="14" t="s">
        <v>23</v>
      </c>
    </row>
    <row r="29">
      <c r="A29" s="14" t="s">
        <v>76</v>
      </c>
      <c r="B29" s="14" t="s">
        <v>77</v>
      </c>
      <c r="C29" s="19">
        <v>45158.0</v>
      </c>
      <c r="D29" s="14" t="s">
        <v>11</v>
      </c>
      <c r="E29" s="14" t="s">
        <v>78</v>
      </c>
    </row>
    <row r="30">
      <c r="A30" s="14" t="s">
        <v>79</v>
      </c>
      <c r="B30" s="14" t="s">
        <v>80</v>
      </c>
      <c r="C30" s="19">
        <v>44852.0</v>
      </c>
      <c r="D30" s="14" t="s">
        <v>11</v>
      </c>
      <c r="E30" s="14" t="s">
        <v>61</v>
      </c>
    </row>
    <row r="31">
      <c r="A31" s="14" t="s">
        <v>81</v>
      </c>
      <c r="B31" s="14" t="s">
        <v>82</v>
      </c>
      <c r="C31" s="19">
        <v>45534.0</v>
      </c>
      <c r="D31" s="14" t="s">
        <v>11</v>
      </c>
      <c r="E31" s="14" t="s">
        <v>83</v>
      </c>
    </row>
    <row r="32">
      <c r="A32" s="14" t="s">
        <v>81</v>
      </c>
      <c r="B32" s="14" t="s">
        <v>84</v>
      </c>
      <c r="C32" s="19">
        <v>45548.0</v>
      </c>
      <c r="D32" s="14" t="s">
        <v>40</v>
      </c>
      <c r="E32" s="14" t="s">
        <v>83</v>
      </c>
    </row>
    <row r="33">
      <c r="A33" s="14" t="s">
        <v>85</v>
      </c>
      <c r="B33" s="14" t="s">
        <v>86</v>
      </c>
      <c r="C33" s="19"/>
      <c r="D33" s="14" t="s">
        <v>40</v>
      </c>
      <c r="E33" s="14" t="s">
        <v>23</v>
      </c>
    </row>
    <row r="34">
      <c r="A34" s="14" t="s">
        <v>87</v>
      </c>
      <c r="B34" s="14" t="s">
        <v>88</v>
      </c>
      <c r="C34" s="19">
        <v>44970.0</v>
      </c>
      <c r="D34" s="14" t="s">
        <v>11</v>
      </c>
      <c r="E34" s="14" t="s">
        <v>12</v>
      </c>
    </row>
    <row r="35">
      <c r="A35" s="14" t="s">
        <v>89</v>
      </c>
      <c r="B35" s="14" t="s">
        <v>90</v>
      </c>
      <c r="C35" s="19">
        <v>45624.0</v>
      </c>
      <c r="D35" s="14" t="s">
        <v>40</v>
      </c>
      <c r="E35" s="14" t="s">
        <v>91</v>
      </c>
    </row>
    <row r="36">
      <c r="A36" s="14" t="s">
        <v>92</v>
      </c>
      <c r="B36" s="14" t="s">
        <v>93</v>
      </c>
      <c r="C36" s="19">
        <v>45013.0</v>
      </c>
      <c r="D36" s="14" t="s">
        <v>11</v>
      </c>
      <c r="E36" s="14" t="s">
        <v>35</v>
      </c>
    </row>
    <row r="37">
      <c r="A37" s="14" t="s">
        <v>94</v>
      </c>
      <c r="B37" s="14" t="s">
        <v>95</v>
      </c>
      <c r="C37" s="19">
        <v>45548.0</v>
      </c>
      <c r="D37" s="14" t="s">
        <v>11</v>
      </c>
      <c r="E37" s="14" t="s">
        <v>12</v>
      </c>
    </row>
    <row r="38">
      <c r="A38" s="14" t="s">
        <v>96</v>
      </c>
      <c r="B38" s="14" t="s">
        <v>97</v>
      </c>
      <c r="C38" s="19">
        <v>45699.0</v>
      </c>
      <c r="D38" s="14" t="s">
        <v>11</v>
      </c>
      <c r="E38" s="14" t="s">
        <v>12</v>
      </c>
    </row>
    <row r="39">
      <c r="A39" s="14" t="s">
        <v>98</v>
      </c>
      <c r="B39" s="14" t="s">
        <v>99</v>
      </c>
      <c r="C39" s="19">
        <v>45296.0</v>
      </c>
      <c r="D39" s="14" t="s">
        <v>11</v>
      </c>
      <c r="E39" s="14" t="s">
        <v>100</v>
      </c>
    </row>
    <row r="40">
      <c r="A40" s="14" t="s">
        <v>101</v>
      </c>
      <c r="B40" s="14" t="s">
        <v>102</v>
      </c>
      <c r="C40" s="19">
        <v>45798.0</v>
      </c>
      <c r="D40" s="14" t="s">
        <v>11</v>
      </c>
      <c r="E40" s="14" t="s">
        <v>58</v>
      </c>
    </row>
    <row r="41">
      <c r="A41" s="14" t="s">
        <v>103</v>
      </c>
      <c r="B41" s="14" t="s">
        <v>104</v>
      </c>
      <c r="C41" s="19">
        <v>45126.0</v>
      </c>
      <c r="D41" s="14" t="s">
        <v>11</v>
      </c>
      <c r="E41" s="14" t="s">
        <v>12</v>
      </c>
    </row>
    <row r="42">
      <c r="A42" s="14" t="s">
        <v>105</v>
      </c>
      <c r="B42" s="14" t="s">
        <v>106</v>
      </c>
      <c r="C42" s="19">
        <v>44905.0</v>
      </c>
      <c r="D42" s="14" t="s">
        <v>11</v>
      </c>
      <c r="E42" s="14" t="s">
        <v>12</v>
      </c>
    </row>
    <row r="43">
      <c r="A43" s="14" t="s">
        <v>107</v>
      </c>
      <c r="B43" s="14" t="s">
        <v>108</v>
      </c>
      <c r="C43" s="19">
        <v>44928.0</v>
      </c>
      <c r="D43" s="14" t="s">
        <v>40</v>
      </c>
      <c r="E43" s="14" t="s">
        <v>12</v>
      </c>
    </row>
    <row r="44">
      <c r="A44" s="14" t="s">
        <v>109</v>
      </c>
      <c r="B44" s="14" t="s">
        <v>110</v>
      </c>
      <c r="C44" s="19">
        <v>45798.0</v>
      </c>
      <c r="D44" s="14" t="s">
        <v>11</v>
      </c>
      <c r="E44" s="14" t="s">
        <v>12</v>
      </c>
    </row>
    <row r="45">
      <c r="A45" s="14" t="s">
        <v>111</v>
      </c>
      <c r="B45" s="14" t="s">
        <v>112</v>
      </c>
      <c r="C45" s="19">
        <v>45224.0</v>
      </c>
      <c r="D45" s="14" t="s">
        <v>11</v>
      </c>
      <c r="E45" s="14" t="s">
        <v>12</v>
      </c>
    </row>
    <row r="46">
      <c r="A46" s="14" t="s">
        <v>113</v>
      </c>
      <c r="B46" s="14" t="s">
        <v>114</v>
      </c>
      <c r="C46" s="19">
        <v>44972.0</v>
      </c>
      <c r="D46" s="14" t="s">
        <v>11</v>
      </c>
    </row>
    <row r="47">
      <c r="A47" s="14" t="s">
        <v>115</v>
      </c>
      <c r="B47" s="14" t="s">
        <v>116</v>
      </c>
      <c r="C47" s="19">
        <v>45706.0</v>
      </c>
      <c r="D47" s="14" t="s">
        <v>11</v>
      </c>
      <c r="E47" s="14" t="s">
        <v>12</v>
      </c>
    </row>
    <row r="48">
      <c r="A48" s="14" t="s">
        <v>117</v>
      </c>
      <c r="B48" s="14" t="s">
        <v>118</v>
      </c>
      <c r="C48" s="19">
        <v>45085.0</v>
      </c>
      <c r="D48" s="14" t="s">
        <v>11</v>
      </c>
      <c r="E48" s="14" t="s">
        <v>12</v>
      </c>
    </row>
    <row r="49">
      <c r="A49" s="14" t="s">
        <v>119</v>
      </c>
      <c r="B49" s="14" t="s">
        <v>120</v>
      </c>
      <c r="C49" s="19">
        <v>45520.0</v>
      </c>
      <c r="D49" s="14" t="s">
        <v>40</v>
      </c>
      <c r="E49" s="14" t="s">
        <v>12</v>
      </c>
    </row>
    <row r="50">
      <c r="A50" s="14" t="s">
        <v>121</v>
      </c>
      <c r="B50" s="14" t="s">
        <v>122</v>
      </c>
      <c r="C50" s="19">
        <v>45534.0</v>
      </c>
      <c r="D50" s="14" t="s">
        <v>11</v>
      </c>
      <c r="E50" s="14" t="s">
        <v>12</v>
      </c>
    </row>
    <row r="51">
      <c r="A51" s="14" t="s">
        <v>123</v>
      </c>
      <c r="B51" s="14" t="s">
        <v>124</v>
      </c>
      <c r="C51" s="19">
        <v>45224.0</v>
      </c>
      <c r="D51" s="14" t="s">
        <v>11</v>
      </c>
      <c r="E51" s="14" t="s">
        <v>12</v>
      </c>
    </row>
    <row r="52">
      <c r="A52" s="14" t="s">
        <v>125</v>
      </c>
      <c r="B52" s="14" t="s">
        <v>126</v>
      </c>
      <c r="C52" s="19">
        <v>45314.0</v>
      </c>
      <c r="D52" s="14" t="s">
        <v>11</v>
      </c>
      <c r="E52" s="14" t="s">
        <v>12</v>
      </c>
    </row>
    <row r="53">
      <c r="A53" s="14" t="s">
        <v>127</v>
      </c>
      <c r="B53" s="14" t="s">
        <v>128</v>
      </c>
      <c r="C53" s="19">
        <v>45294.0</v>
      </c>
      <c r="D53" s="14" t="s">
        <v>11</v>
      </c>
      <c r="E53" s="14" t="s">
        <v>12</v>
      </c>
    </row>
    <row r="54">
      <c r="A54" s="14" t="s">
        <v>129</v>
      </c>
      <c r="B54" s="14" t="s">
        <v>130</v>
      </c>
      <c r="C54" s="19">
        <v>45158.0</v>
      </c>
      <c r="D54" s="14" t="s">
        <v>11</v>
      </c>
      <c r="E54" s="14" t="s">
        <v>131</v>
      </c>
    </row>
    <row r="55">
      <c r="A55" s="14" t="s">
        <v>132</v>
      </c>
      <c r="B55" s="14" t="s">
        <v>133</v>
      </c>
      <c r="C55" s="19">
        <v>45769.0</v>
      </c>
      <c r="D55" s="14" t="s">
        <v>11</v>
      </c>
      <c r="E55" s="14" t="s">
        <v>12</v>
      </c>
    </row>
    <row r="56">
      <c r="A56" s="14" t="s">
        <v>134</v>
      </c>
      <c r="B56" s="14" t="s">
        <v>135</v>
      </c>
      <c r="C56" s="19">
        <v>45000.0</v>
      </c>
      <c r="D56" s="14" t="s">
        <v>69</v>
      </c>
      <c r="E56" s="14" t="s">
        <v>136</v>
      </c>
    </row>
    <row r="57">
      <c r="A57" s="14" t="s">
        <v>137</v>
      </c>
      <c r="B57" s="14" t="s">
        <v>138</v>
      </c>
      <c r="C57" s="19">
        <v>45158.0</v>
      </c>
      <c r="D57" s="14" t="s">
        <v>11</v>
      </c>
      <c r="E57" s="14" t="s">
        <v>139</v>
      </c>
    </row>
    <row r="58">
      <c r="A58" s="14" t="s">
        <v>140</v>
      </c>
      <c r="B58" s="14" t="s">
        <v>141</v>
      </c>
      <c r="C58" s="19">
        <v>45595.0</v>
      </c>
      <c r="D58" s="14" t="s">
        <v>11</v>
      </c>
      <c r="E58" s="14" t="s">
        <v>91</v>
      </c>
    </row>
    <row r="59">
      <c r="A59" s="14" t="s">
        <v>140</v>
      </c>
      <c r="B59" s="14" t="s">
        <v>142</v>
      </c>
      <c r="C59" s="19">
        <v>45624.0</v>
      </c>
      <c r="D59" s="14" t="s">
        <v>40</v>
      </c>
      <c r="E59" s="14" t="s">
        <v>91</v>
      </c>
    </row>
    <row r="60">
      <c r="A60" s="14" t="s">
        <v>143</v>
      </c>
      <c r="B60" s="14" t="s">
        <v>144</v>
      </c>
      <c r="C60" s="19">
        <v>45680.0</v>
      </c>
      <c r="D60" s="14" t="s">
        <v>11</v>
      </c>
      <c r="E60" s="14" t="s">
        <v>58</v>
      </c>
    </row>
    <row r="61">
      <c r="A61" s="14" t="s">
        <v>143</v>
      </c>
      <c r="B61" s="14" t="s">
        <v>145</v>
      </c>
      <c r="C61" s="19">
        <v>45680.0</v>
      </c>
      <c r="D61" s="14" t="s">
        <v>40</v>
      </c>
      <c r="E61" s="14" t="s">
        <v>58</v>
      </c>
    </row>
    <row r="62">
      <c r="A62" s="14" t="s">
        <v>146</v>
      </c>
      <c r="B62" s="14" t="s">
        <v>147</v>
      </c>
      <c r="C62" s="19">
        <v>45497.0</v>
      </c>
      <c r="D62" s="14" t="s">
        <v>11</v>
      </c>
      <c r="E62" s="14" t="s">
        <v>12</v>
      </c>
    </row>
    <row r="63">
      <c r="A63" s="14" t="s">
        <v>148</v>
      </c>
      <c r="B63" s="14" t="s">
        <v>149</v>
      </c>
      <c r="C63" s="19">
        <v>44874.0</v>
      </c>
      <c r="D63" s="14" t="s">
        <v>11</v>
      </c>
      <c r="E63" s="14" t="s">
        <v>12</v>
      </c>
    </row>
    <row r="64">
      <c r="A64" s="14" t="s">
        <v>150</v>
      </c>
      <c r="B64" s="14" t="s">
        <v>151</v>
      </c>
      <c r="C64" s="19">
        <v>45224.0</v>
      </c>
      <c r="D64" s="14" t="s">
        <v>11</v>
      </c>
      <c r="E64" s="14" t="s">
        <v>12</v>
      </c>
    </row>
    <row r="65">
      <c r="A65" s="14" t="s">
        <v>152</v>
      </c>
      <c r="B65" s="14" t="s">
        <v>153</v>
      </c>
      <c r="C65" s="19">
        <v>45574.0</v>
      </c>
      <c r="D65" s="14" t="s">
        <v>11</v>
      </c>
      <c r="E65" s="14" t="s">
        <v>154</v>
      </c>
    </row>
    <row r="66">
      <c r="A66" s="14" t="s">
        <v>155</v>
      </c>
      <c r="B66" s="14" t="s">
        <v>156</v>
      </c>
      <c r="C66" s="19">
        <v>45798.0</v>
      </c>
      <c r="D66" s="14" t="s">
        <v>11</v>
      </c>
      <c r="E66" s="14" t="s">
        <v>12</v>
      </c>
    </row>
    <row r="67">
      <c r="A67" s="14" t="s">
        <v>157</v>
      </c>
      <c r="B67" s="14" t="s">
        <v>158</v>
      </c>
      <c r="C67" s="19">
        <v>44725.0</v>
      </c>
      <c r="D67" s="14" t="s">
        <v>11</v>
      </c>
      <c r="E67" s="14" t="s">
        <v>12</v>
      </c>
    </row>
    <row r="68">
      <c r="A68" s="14" t="s">
        <v>159</v>
      </c>
      <c r="B68" s="14" t="s">
        <v>160</v>
      </c>
      <c r="C68" s="19">
        <v>44903.0</v>
      </c>
      <c r="D68" s="14" t="s">
        <v>69</v>
      </c>
      <c r="E68" s="14" t="s">
        <v>12</v>
      </c>
    </row>
    <row r="69">
      <c r="A69" s="14" t="s">
        <v>161</v>
      </c>
      <c r="B69" s="14" t="s">
        <v>162</v>
      </c>
      <c r="C69" s="19">
        <v>45650.0</v>
      </c>
      <c r="D69" s="14" t="s">
        <v>11</v>
      </c>
      <c r="E69" s="14" t="s">
        <v>12</v>
      </c>
    </row>
    <row r="70">
      <c r="A70" s="14" t="s">
        <v>163</v>
      </c>
      <c r="B70" s="14" t="s">
        <v>164</v>
      </c>
      <c r="C70" s="19">
        <v>45548.0</v>
      </c>
      <c r="D70" s="14" t="s">
        <v>40</v>
      </c>
      <c r="E70" s="14" t="s">
        <v>83</v>
      </c>
    </row>
    <row r="71">
      <c r="A71" s="14" t="s">
        <v>165</v>
      </c>
      <c r="B71" s="14" t="s">
        <v>166</v>
      </c>
      <c r="C71" s="19">
        <v>45506.0</v>
      </c>
      <c r="D71" s="14" t="s">
        <v>11</v>
      </c>
      <c r="E71" s="14" t="s">
        <v>83</v>
      </c>
    </row>
    <row r="72">
      <c r="A72" s="14" t="s">
        <v>165</v>
      </c>
      <c r="B72" s="14" t="s">
        <v>167</v>
      </c>
      <c r="C72" s="19">
        <v>45624.0</v>
      </c>
      <c r="D72" s="14" t="s">
        <v>40</v>
      </c>
      <c r="E72" s="14" t="s">
        <v>83</v>
      </c>
    </row>
    <row r="73">
      <c r="A73" s="14" t="s">
        <v>168</v>
      </c>
      <c r="B73" s="14" t="s">
        <v>169</v>
      </c>
      <c r="C73" s="19">
        <v>45426.0</v>
      </c>
      <c r="D73" s="14" t="s">
        <v>11</v>
      </c>
      <c r="E73" s="14" t="s">
        <v>12</v>
      </c>
    </row>
    <row r="74">
      <c r="A74" s="14" t="s">
        <v>170</v>
      </c>
      <c r="B74" s="14" t="s">
        <v>171</v>
      </c>
      <c r="C74" s="19">
        <v>45755.0</v>
      </c>
      <c r="D74" s="14" t="s">
        <v>11</v>
      </c>
      <c r="E74" s="14" t="s">
        <v>12</v>
      </c>
    </row>
    <row r="75">
      <c r="A75" s="14" t="s">
        <v>172</v>
      </c>
      <c r="B75" s="14" t="s">
        <v>173</v>
      </c>
      <c r="C75" s="19">
        <v>45342.0</v>
      </c>
      <c r="D75" s="14" t="s">
        <v>11</v>
      </c>
      <c r="E75" s="14" t="s">
        <v>12</v>
      </c>
    </row>
    <row r="76">
      <c r="A76" s="14" t="s">
        <v>174</v>
      </c>
      <c r="B76" s="14" t="s">
        <v>175</v>
      </c>
      <c r="C76" s="19">
        <v>45695.0</v>
      </c>
      <c r="D76" s="14" t="s">
        <v>11</v>
      </c>
      <c r="E76" s="14" t="s">
        <v>12</v>
      </c>
    </row>
    <row r="77">
      <c r="A77" s="14" t="s">
        <v>176</v>
      </c>
      <c r="B77" s="14" t="s">
        <v>177</v>
      </c>
      <c r="C77" s="19">
        <v>45224.0</v>
      </c>
      <c r="D77" s="14" t="s">
        <v>11</v>
      </c>
      <c r="E77" s="14" t="s">
        <v>12</v>
      </c>
    </row>
    <row r="78">
      <c r="A78" s="14" t="s">
        <v>178</v>
      </c>
      <c r="B78" s="14" t="s">
        <v>179</v>
      </c>
      <c r="C78" s="19">
        <v>45158.0</v>
      </c>
      <c r="D78" s="14" t="s">
        <v>11</v>
      </c>
      <c r="E78" s="14" t="s">
        <v>78</v>
      </c>
    </row>
    <row r="79">
      <c r="A79" s="14" t="s">
        <v>180</v>
      </c>
      <c r="B79" s="14" t="s">
        <v>181</v>
      </c>
      <c r="C79" s="19">
        <v>45158.0</v>
      </c>
      <c r="D79" s="14" t="s">
        <v>11</v>
      </c>
      <c r="E79" s="14" t="s">
        <v>182</v>
      </c>
    </row>
    <row r="80">
      <c r="A80" s="14" t="s">
        <v>183</v>
      </c>
      <c r="B80" s="14" t="s">
        <v>184</v>
      </c>
      <c r="C80" s="19"/>
      <c r="D80" s="14" t="s">
        <v>11</v>
      </c>
      <c r="E80" s="14" t="s">
        <v>38</v>
      </c>
    </row>
    <row r="81">
      <c r="A81" s="14" t="s">
        <v>185</v>
      </c>
      <c r="B81" s="14" t="s">
        <v>186</v>
      </c>
      <c r="C81" s="19">
        <v>45769.0</v>
      </c>
      <c r="D81" s="14" t="s">
        <v>40</v>
      </c>
      <c r="E81" s="14" t="s">
        <v>58</v>
      </c>
    </row>
    <row r="82">
      <c r="A82" s="14" t="s">
        <v>185</v>
      </c>
      <c r="B82" s="14" t="s">
        <v>187</v>
      </c>
      <c r="C82" s="19">
        <v>45769.0</v>
      </c>
      <c r="D82" s="14" t="s">
        <v>11</v>
      </c>
      <c r="E82" s="14" t="s">
        <v>58</v>
      </c>
    </row>
    <row r="83">
      <c r="A83" s="14" t="s">
        <v>188</v>
      </c>
      <c r="B83" s="14" t="s">
        <v>189</v>
      </c>
      <c r="C83" s="19">
        <v>45238.0</v>
      </c>
      <c r="D83" s="14" t="s">
        <v>11</v>
      </c>
      <c r="E83" s="14" t="s">
        <v>83</v>
      </c>
    </row>
    <row r="84">
      <c r="A84" s="14" t="s">
        <v>190</v>
      </c>
      <c r="B84" s="14" t="s">
        <v>191</v>
      </c>
      <c r="C84" s="19">
        <v>44831.0</v>
      </c>
      <c r="D84" s="14" t="s">
        <v>11</v>
      </c>
      <c r="E84" s="14" t="s">
        <v>192</v>
      </c>
    </row>
    <row r="85">
      <c r="A85" s="14" t="s">
        <v>193</v>
      </c>
      <c r="B85" s="14" t="s">
        <v>194</v>
      </c>
      <c r="C85" s="19">
        <v>45085.0</v>
      </c>
      <c r="D85" s="14" t="s">
        <v>69</v>
      </c>
      <c r="E85" s="14" t="s">
        <v>12</v>
      </c>
    </row>
    <row r="86">
      <c r="A86" s="14" t="s">
        <v>195</v>
      </c>
      <c r="B86" s="14" t="s">
        <v>196</v>
      </c>
      <c r="C86" s="19">
        <v>45680.0</v>
      </c>
      <c r="D86" s="14" t="s">
        <v>40</v>
      </c>
      <c r="E86" s="14" t="s">
        <v>38</v>
      </c>
    </row>
    <row r="87">
      <c r="A87" s="14" t="s">
        <v>195</v>
      </c>
      <c r="B87" s="14" t="s">
        <v>197</v>
      </c>
      <c r="C87" s="19">
        <v>45681.0</v>
      </c>
      <c r="D87" s="14" t="s">
        <v>11</v>
      </c>
      <c r="E87" s="14" t="s">
        <v>38</v>
      </c>
    </row>
    <row r="88">
      <c r="A88" s="14" t="s">
        <v>198</v>
      </c>
      <c r="B88" s="14" t="s">
        <v>199</v>
      </c>
      <c r="C88" s="19">
        <v>45574.0</v>
      </c>
      <c r="D88" s="14" t="s">
        <v>11</v>
      </c>
      <c r="E88" s="14" t="s">
        <v>12</v>
      </c>
    </row>
    <row r="89">
      <c r="A89" s="14" t="s">
        <v>200</v>
      </c>
      <c r="B89" s="14" t="s">
        <v>201</v>
      </c>
      <c r="C89" s="19">
        <v>45680.0</v>
      </c>
      <c r="D89" s="14" t="s">
        <v>11</v>
      </c>
      <c r="E89" s="14" t="s">
        <v>202</v>
      </c>
    </row>
    <row r="90">
      <c r="A90" s="14" t="s">
        <v>200</v>
      </c>
      <c r="B90" s="14" t="s">
        <v>203</v>
      </c>
      <c r="C90" s="19">
        <v>45680.0</v>
      </c>
      <c r="D90" s="14" t="s">
        <v>40</v>
      </c>
      <c r="E90" s="14" t="s">
        <v>202</v>
      </c>
    </row>
    <row r="91">
      <c r="A91" s="14" t="s">
        <v>204</v>
      </c>
      <c r="B91" s="14" t="s">
        <v>205</v>
      </c>
      <c r="C91" s="19">
        <v>45497.0</v>
      </c>
      <c r="D91" s="14" t="s">
        <v>11</v>
      </c>
      <c r="E91" s="14" t="s">
        <v>12</v>
      </c>
    </row>
    <row r="92">
      <c r="A92" s="14" t="s">
        <v>206</v>
      </c>
      <c r="B92" s="14" t="s">
        <v>207</v>
      </c>
      <c r="C92" s="19">
        <v>45244.0</v>
      </c>
      <c r="D92" s="14" t="s">
        <v>11</v>
      </c>
      <c r="E92" s="14" t="s">
        <v>208</v>
      </c>
    </row>
    <row r="93">
      <c r="A93" s="14" t="s">
        <v>209</v>
      </c>
      <c r="B93" s="14" t="s">
        <v>210</v>
      </c>
      <c r="C93" s="19">
        <v>45464.0</v>
      </c>
      <c r="D93" s="14" t="s">
        <v>11</v>
      </c>
      <c r="E93" s="14" t="s">
        <v>12</v>
      </c>
    </row>
    <row r="94">
      <c r="A94" s="14" t="s">
        <v>211</v>
      </c>
      <c r="B94" s="14" t="s">
        <v>212</v>
      </c>
      <c r="C94" s="19">
        <v>45226.0</v>
      </c>
      <c r="D94" s="14" t="s">
        <v>40</v>
      </c>
      <c r="E94" s="14" t="s">
        <v>213</v>
      </c>
    </row>
    <row r="95">
      <c r="A95" s="14" t="s">
        <v>211</v>
      </c>
      <c r="B95" s="14" t="s">
        <v>214</v>
      </c>
      <c r="C95" s="19">
        <v>45294.0</v>
      </c>
      <c r="D95" s="14" t="s">
        <v>11</v>
      </c>
      <c r="E95" s="14" t="s">
        <v>213</v>
      </c>
    </row>
    <row r="96">
      <c r="A96" s="14" t="s">
        <v>215</v>
      </c>
      <c r="B96" s="14" t="s">
        <v>216</v>
      </c>
      <c r="C96" s="19">
        <v>45436.0</v>
      </c>
      <c r="D96" s="14" t="s">
        <v>11</v>
      </c>
      <c r="E96" s="14" t="s">
        <v>213</v>
      </c>
    </row>
    <row r="97">
      <c r="A97" s="14" t="s">
        <v>215</v>
      </c>
      <c r="B97" s="14" t="s">
        <v>217</v>
      </c>
      <c r="C97" s="19">
        <v>45436.0</v>
      </c>
      <c r="D97" s="14" t="s">
        <v>40</v>
      </c>
      <c r="E97" s="14" t="s">
        <v>213</v>
      </c>
    </row>
    <row r="98">
      <c r="A98" s="14" t="s">
        <v>218</v>
      </c>
      <c r="B98" s="14" t="s">
        <v>219</v>
      </c>
      <c r="C98" s="19">
        <v>44810.0</v>
      </c>
      <c r="D98" s="14" t="s">
        <v>11</v>
      </c>
      <c r="E98" s="14" t="s">
        <v>220</v>
      </c>
    </row>
    <row r="99">
      <c r="A99" s="14" t="s">
        <v>218</v>
      </c>
      <c r="B99" s="14" t="s">
        <v>221</v>
      </c>
      <c r="C99" s="19">
        <v>44847.0</v>
      </c>
      <c r="D99" s="14" t="s">
        <v>40</v>
      </c>
      <c r="E99" s="14" t="s">
        <v>220</v>
      </c>
    </row>
    <row r="100">
      <c r="A100" s="14" t="s">
        <v>222</v>
      </c>
      <c r="B100" s="14" t="s">
        <v>223</v>
      </c>
      <c r="C100" s="19">
        <v>44441.0</v>
      </c>
      <c r="D100" s="14" t="s">
        <v>22</v>
      </c>
      <c r="E100" s="14" t="s">
        <v>23</v>
      </c>
    </row>
    <row r="101">
      <c r="A101" s="14" t="s">
        <v>224</v>
      </c>
      <c r="B101" s="14" t="s">
        <v>225</v>
      </c>
      <c r="C101" s="19">
        <v>44852.0</v>
      </c>
      <c r="D101" s="14" t="s">
        <v>69</v>
      </c>
      <c r="E101" s="14" t="s">
        <v>83</v>
      </c>
    </row>
    <row r="102">
      <c r="A102" s="14" t="s">
        <v>224</v>
      </c>
      <c r="B102" s="14" t="s">
        <v>226</v>
      </c>
      <c r="C102" s="19">
        <v>44852.0</v>
      </c>
      <c r="D102" s="14" t="s">
        <v>22</v>
      </c>
      <c r="E102" s="14" t="s">
        <v>83</v>
      </c>
    </row>
    <row r="103">
      <c r="A103" s="14" t="s">
        <v>227</v>
      </c>
      <c r="B103" s="14" t="s">
        <v>228</v>
      </c>
      <c r="C103" s="19">
        <v>45158.0</v>
      </c>
      <c r="D103" s="14" t="s">
        <v>11</v>
      </c>
      <c r="E103" s="14" t="s">
        <v>229</v>
      </c>
    </row>
    <row r="104">
      <c r="A104" s="14" t="s">
        <v>227</v>
      </c>
      <c r="B104" s="14" t="s">
        <v>230</v>
      </c>
      <c r="C104" s="19">
        <v>45763.0</v>
      </c>
      <c r="D104" s="14" t="s">
        <v>40</v>
      </c>
      <c r="E104" s="14" t="s">
        <v>229</v>
      </c>
    </row>
    <row r="105">
      <c r="A105" s="14" t="s">
        <v>231</v>
      </c>
      <c r="B105" s="14" t="s">
        <v>232</v>
      </c>
      <c r="C105" s="19">
        <v>45426.0</v>
      </c>
      <c r="D105" s="14" t="s">
        <v>11</v>
      </c>
      <c r="E105" s="14" t="s">
        <v>83</v>
      </c>
    </row>
    <row r="106">
      <c r="A106" s="14" t="s">
        <v>233</v>
      </c>
      <c r="B106" s="14" t="s">
        <v>234</v>
      </c>
      <c r="C106" s="19">
        <v>45574.0</v>
      </c>
      <c r="D106" s="14" t="s">
        <v>11</v>
      </c>
      <c r="E106" s="14" t="s">
        <v>192</v>
      </c>
    </row>
    <row r="107">
      <c r="A107" s="14" t="s">
        <v>235</v>
      </c>
      <c r="B107" s="14" t="s">
        <v>236</v>
      </c>
      <c r="C107" s="19">
        <v>45520.0</v>
      </c>
      <c r="D107" s="14" t="s">
        <v>11</v>
      </c>
      <c r="E107" s="14" t="s">
        <v>12</v>
      </c>
    </row>
    <row r="108">
      <c r="A108" s="14" t="s">
        <v>237</v>
      </c>
      <c r="B108" s="14" t="s">
        <v>238</v>
      </c>
      <c r="C108" s="19">
        <v>45418.0</v>
      </c>
      <c r="D108" s="14" t="s">
        <v>11</v>
      </c>
      <c r="E108" s="14" t="s">
        <v>12</v>
      </c>
    </row>
    <row r="109">
      <c r="A109" s="14" t="s">
        <v>239</v>
      </c>
      <c r="B109" s="14" t="s">
        <v>240</v>
      </c>
      <c r="C109" s="19"/>
      <c r="D109" s="14" t="s">
        <v>11</v>
      </c>
      <c r="E109" s="14" t="s">
        <v>12</v>
      </c>
    </row>
    <row r="110">
      <c r="A110" s="14" t="s">
        <v>241</v>
      </c>
      <c r="B110" s="14" t="s">
        <v>242</v>
      </c>
      <c r="C110" s="19">
        <v>45790.0</v>
      </c>
      <c r="D110" s="14" t="s">
        <v>11</v>
      </c>
      <c r="E110" s="14" t="s">
        <v>12</v>
      </c>
    </row>
    <row r="111">
      <c r="A111" s="14" t="s">
        <v>243</v>
      </c>
      <c r="B111" s="14" t="s">
        <v>244</v>
      </c>
      <c r="C111" s="19">
        <v>45534.0</v>
      </c>
      <c r="D111" s="14" t="s">
        <v>11</v>
      </c>
      <c r="E111" s="14" t="s">
        <v>12</v>
      </c>
    </row>
    <row r="112">
      <c r="A112" s="14" t="s">
        <v>243</v>
      </c>
      <c r="B112" s="14" t="s">
        <v>245</v>
      </c>
      <c r="C112" s="19">
        <v>45624.0</v>
      </c>
      <c r="D112" s="14" t="s">
        <v>40</v>
      </c>
      <c r="E112" s="14" t="s">
        <v>12</v>
      </c>
    </row>
    <row r="113">
      <c r="A113" s="14" t="s">
        <v>246</v>
      </c>
      <c r="B113" s="14" t="s">
        <v>247</v>
      </c>
      <c r="C113" s="15" t="s">
        <v>248</v>
      </c>
      <c r="D113" s="14" t="s">
        <v>69</v>
      </c>
      <c r="E113" s="14" t="s">
        <v>249</v>
      </c>
    </row>
    <row r="114">
      <c r="A114" s="14" t="s">
        <v>250</v>
      </c>
      <c r="B114" s="14" t="s">
        <v>251</v>
      </c>
      <c r="C114" s="19">
        <v>44761.0</v>
      </c>
      <c r="D114" s="14" t="s">
        <v>11</v>
      </c>
      <c r="E114" s="14" t="s">
        <v>61</v>
      </c>
    </row>
    <row r="115">
      <c r="A115" s="14" t="s">
        <v>252</v>
      </c>
      <c r="B115" s="14" t="s">
        <v>253</v>
      </c>
      <c r="C115" s="19">
        <v>45294.0</v>
      </c>
      <c r="D115" s="14" t="s">
        <v>11</v>
      </c>
      <c r="E115" s="14" t="s">
        <v>254</v>
      </c>
    </row>
    <row r="116">
      <c r="A116" s="14" t="s">
        <v>255</v>
      </c>
      <c r="B116" s="14" t="s">
        <v>256</v>
      </c>
      <c r="C116" s="19">
        <v>44813.0</v>
      </c>
      <c r="D116" s="14" t="s">
        <v>22</v>
      </c>
      <c r="E116" s="14" t="s">
        <v>83</v>
      </c>
    </row>
    <row r="117">
      <c r="A117" s="14" t="s">
        <v>255</v>
      </c>
      <c r="B117" s="14" t="s">
        <v>257</v>
      </c>
      <c r="C117" s="19">
        <v>44917.0</v>
      </c>
      <c r="D117" s="14" t="s">
        <v>69</v>
      </c>
      <c r="E117" s="14" t="s">
        <v>83</v>
      </c>
    </row>
    <row r="118">
      <c r="A118" s="14" t="s">
        <v>258</v>
      </c>
      <c r="B118" s="14" t="s">
        <v>259</v>
      </c>
      <c r="C118" s="19">
        <v>45534.0</v>
      </c>
      <c r="D118" s="14" t="s">
        <v>11</v>
      </c>
      <c r="E118" s="14" t="s">
        <v>12</v>
      </c>
    </row>
    <row r="119">
      <c r="A119" s="14" t="s">
        <v>258</v>
      </c>
      <c r="B119" s="14" t="s">
        <v>260</v>
      </c>
      <c r="C119" s="19">
        <v>45574.0</v>
      </c>
      <c r="D119" s="14" t="s">
        <v>40</v>
      </c>
      <c r="E119" s="14" t="s">
        <v>12</v>
      </c>
    </row>
    <row r="120">
      <c r="A120" s="14" t="s">
        <v>261</v>
      </c>
      <c r="B120" s="14" t="s">
        <v>262</v>
      </c>
      <c r="C120" s="19">
        <v>45548.0</v>
      </c>
      <c r="D120" s="14" t="s">
        <v>11</v>
      </c>
      <c r="E120" s="14" t="s">
        <v>12</v>
      </c>
    </row>
    <row r="121">
      <c r="A121" s="14" t="s">
        <v>263</v>
      </c>
      <c r="B121" s="14" t="s">
        <v>264</v>
      </c>
      <c r="C121" s="19">
        <v>45790.0</v>
      </c>
      <c r="D121" s="14" t="s">
        <v>11</v>
      </c>
      <c r="E121" s="14" t="s">
        <v>12</v>
      </c>
    </row>
    <row r="122">
      <c r="A122" s="14" t="s">
        <v>265</v>
      </c>
      <c r="B122" s="14" t="s">
        <v>266</v>
      </c>
      <c r="C122" s="19">
        <v>44441.0</v>
      </c>
      <c r="D122" s="14" t="s">
        <v>22</v>
      </c>
      <c r="E122" s="14" t="s">
        <v>23</v>
      </c>
    </row>
    <row r="123">
      <c r="A123" s="14" t="s">
        <v>267</v>
      </c>
      <c r="B123" s="14" t="s">
        <v>268</v>
      </c>
      <c r="C123" s="19">
        <v>44566.0</v>
      </c>
      <c r="D123" s="14" t="s">
        <v>40</v>
      </c>
      <c r="E123" s="14" t="s">
        <v>269</v>
      </c>
    </row>
    <row r="124">
      <c r="A124" s="14" t="s">
        <v>270</v>
      </c>
      <c r="B124" s="14" t="s">
        <v>271</v>
      </c>
      <c r="C124" s="19">
        <v>44960.0</v>
      </c>
      <c r="D124" s="14" t="s">
        <v>11</v>
      </c>
      <c r="E124" s="14" t="s">
        <v>272</v>
      </c>
    </row>
    <row r="125">
      <c r="A125" s="14" t="s">
        <v>273</v>
      </c>
      <c r="B125" s="14" t="s">
        <v>274</v>
      </c>
      <c r="C125" s="19">
        <v>45506.0</v>
      </c>
      <c r="D125" s="14" t="s">
        <v>11</v>
      </c>
      <c r="E125" s="14" t="s">
        <v>275</v>
      </c>
    </row>
    <row r="126">
      <c r="A126" s="14" t="s">
        <v>276</v>
      </c>
      <c r="B126" s="14" t="s">
        <v>277</v>
      </c>
      <c r="C126" s="19">
        <v>45776.0</v>
      </c>
      <c r="D126" s="14" t="s">
        <v>11</v>
      </c>
      <c r="E126" s="14" t="s">
        <v>12</v>
      </c>
    </row>
    <row r="127">
      <c r="A127" s="14" t="s">
        <v>278</v>
      </c>
      <c r="B127" s="14" t="s">
        <v>279</v>
      </c>
      <c r="C127" s="19">
        <v>45033.0</v>
      </c>
      <c r="D127" s="14" t="s">
        <v>11</v>
      </c>
      <c r="E127" s="14" t="s">
        <v>12</v>
      </c>
    </row>
    <row r="128">
      <c r="A128" s="14" t="s">
        <v>278</v>
      </c>
      <c r="B128" s="14" t="s">
        <v>280</v>
      </c>
      <c r="C128" s="19">
        <v>45160.0</v>
      </c>
      <c r="D128" s="14" t="s">
        <v>40</v>
      </c>
      <c r="E128" s="14" t="s">
        <v>12</v>
      </c>
    </row>
    <row r="129">
      <c r="A129" s="14" t="s">
        <v>281</v>
      </c>
      <c r="B129" s="14" t="s">
        <v>282</v>
      </c>
      <c r="C129" s="19">
        <v>45015.0</v>
      </c>
      <c r="D129" s="14" t="s">
        <v>11</v>
      </c>
      <c r="E129" s="14" t="s">
        <v>12</v>
      </c>
    </row>
    <row r="130">
      <c r="A130" s="14" t="s">
        <v>283</v>
      </c>
      <c r="B130" s="14" t="s">
        <v>284</v>
      </c>
      <c r="C130" s="19"/>
      <c r="D130" s="14" t="s">
        <v>11</v>
      </c>
      <c r="E130" s="14" t="s">
        <v>12</v>
      </c>
    </row>
    <row r="131">
      <c r="A131" s="14" t="s">
        <v>285</v>
      </c>
      <c r="B131" s="14" t="s">
        <v>286</v>
      </c>
      <c r="C131" s="19">
        <v>44831.0</v>
      </c>
      <c r="D131" s="14" t="s">
        <v>11</v>
      </c>
      <c r="E131" s="14" t="s">
        <v>154</v>
      </c>
    </row>
    <row r="132">
      <c r="A132" s="14" t="s">
        <v>287</v>
      </c>
      <c r="B132" s="14" t="s">
        <v>288</v>
      </c>
      <c r="C132" s="19">
        <v>45699.0</v>
      </c>
      <c r="D132" s="14" t="s">
        <v>11</v>
      </c>
      <c r="E132" s="14" t="s">
        <v>12</v>
      </c>
    </row>
    <row r="133">
      <c r="A133" s="14" t="s">
        <v>289</v>
      </c>
      <c r="B133" s="14" t="s">
        <v>290</v>
      </c>
      <c r="C133" s="19">
        <v>45534.0</v>
      </c>
      <c r="D133" s="14" t="s">
        <v>11</v>
      </c>
      <c r="E133" s="14" t="s">
        <v>12</v>
      </c>
    </row>
    <row r="134">
      <c r="A134" s="14" t="s">
        <v>289</v>
      </c>
      <c r="B134" s="14" t="s">
        <v>291</v>
      </c>
      <c r="C134" s="19">
        <v>45680.0</v>
      </c>
      <c r="D134" s="14" t="s">
        <v>40</v>
      </c>
      <c r="E134" s="14" t="s">
        <v>12</v>
      </c>
    </row>
    <row r="135">
      <c r="A135" s="14" t="s">
        <v>292</v>
      </c>
      <c r="B135" s="14" t="s">
        <v>293</v>
      </c>
      <c r="C135" s="19">
        <v>45721.0</v>
      </c>
      <c r="D135" s="14" t="s">
        <v>11</v>
      </c>
      <c r="E135" s="14" t="s">
        <v>12</v>
      </c>
    </row>
    <row r="136">
      <c r="A136" s="14" t="s">
        <v>294</v>
      </c>
      <c r="B136" s="14" t="s">
        <v>295</v>
      </c>
      <c r="C136" s="19">
        <v>45022.0</v>
      </c>
      <c r="D136" s="14" t="s">
        <v>11</v>
      </c>
      <c r="E136" s="14" t="s">
        <v>12</v>
      </c>
    </row>
    <row r="137">
      <c r="A137" s="14" t="s">
        <v>296</v>
      </c>
      <c r="B137" s="14" t="s">
        <v>297</v>
      </c>
      <c r="C137" s="19"/>
      <c r="D137" s="14" t="s">
        <v>11</v>
      </c>
      <c r="E137" s="14" t="s">
        <v>12</v>
      </c>
    </row>
    <row r="138">
      <c r="A138" s="14" t="s">
        <v>298</v>
      </c>
      <c r="B138" s="14" t="s">
        <v>299</v>
      </c>
      <c r="C138" s="19">
        <v>44841.0</v>
      </c>
      <c r="D138" s="14" t="s">
        <v>11</v>
      </c>
      <c r="E138" s="14" t="s">
        <v>12</v>
      </c>
    </row>
    <row r="139">
      <c r="A139" s="14" t="s">
        <v>300</v>
      </c>
      <c r="B139" s="14" t="s">
        <v>301</v>
      </c>
      <c r="C139" s="19">
        <v>45450.0</v>
      </c>
      <c r="D139" s="14" t="s">
        <v>11</v>
      </c>
      <c r="E139" s="14" t="s">
        <v>302</v>
      </c>
    </row>
    <row r="140">
      <c r="A140" s="14" t="s">
        <v>303</v>
      </c>
      <c r="B140" s="14" t="s">
        <v>304</v>
      </c>
      <c r="C140" s="19">
        <v>45755.0</v>
      </c>
      <c r="D140" s="14" t="s">
        <v>40</v>
      </c>
      <c r="E140" s="14" t="s">
        <v>12</v>
      </c>
    </row>
    <row r="141">
      <c r="A141" s="14" t="s">
        <v>303</v>
      </c>
      <c r="B141" s="14" t="s">
        <v>305</v>
      </c>
      <c r="C141" s="19">
        <v>45755.0</v>
      </c>
      <c r="D141" s="14" t="s">
        <v>11</v>
      </c>
      <c r="E141" s="14" t="s">
        <v>12</v>
      </c>
    </row>
    <row r="142">
      <c r="A142" s="14" t="s">
        <v>306</v>
      </c>
      <c r="B142" s="14" t="s">
        <v>307</v>
      </c>
      <c r="C142" s="19">
        <v>44965.0</v>
      </c>
      <c r="D142" s="14" t="s">
        <v>40</v>
      </c>
      <c r="E142" s="14" t="s">
        <v>12</v>
      </c>
    </row>
    <row r="143">
      <c r="A143" s="14" t="s">
        <v>306</v>
      </c>
      <c r="B143" s="14" t="s">
        <v>308</v>
      </c>
      <c r="C143" s="19">
        <v>45224.0</v>
      </c>
      <c r="D143" s="14" t="s">
        <v>11</v>
      </c>
      <c r="E143" s="14" t="s">
        <v>12</v>
      </c>
    </row>
    <row r="144">
      <c r="A144" s="14" t="s">
        <v>309</v>
      </c>
      <c r="B144" s="14" t="s">
        <v>310</v>
      </c>
      <c r="C144" s="19">
        <v>44905.0</v>
      </c>
      <c r="D144" s="14" t="s">
        <v>11</v>
      </c>
      <c r="E144" s="14" t="s">
        <v>12</v>
      </c>
    </row>
    <row r="145">
      <c r="A145" s="14" t="s">
        <v>309</v>
      </c>
      <c r="B145" s="14" t="s">
        <v>311</v>
      </c>
      <c r="C145" s="19">
        <v>44928.0</v>
      </c>
      <c r="D145" s="14" t="s">
        <v>40</v>
      </c>
      <c r="E145" s="14" t="s">
        <v>12</v>
      </c>
    </row>
    <row r="146">
      <c r="A146" s="14" t="s">
        <v>312</v>
      </c>
      <c r="B146" s="14" t="s">
        <v>313</v>
      </c>
      <c r="C146" s="19">
        <v>45650.0</v>
      </c>
      <c r="D146" s="14" t="s">
        <v>11</v>
      </c>
      <c r="E146" s="14" t="s">
        <v>12</v>
      </c>
    </row>
    <row r="147">
      <c r="A147" s="14" t="s">
        <v>312</v>
      </c>
      <c r="B147" s="14" t="s">
        <v>314</v>
      </c>
      <c r="C147" s="19">
        <v>45700.0</v>
      </c>
      <c r="D147" s="14" t="s">
        <v>40</v>
      </c>
      <c r="E147" s="14" t="s">
        <v>12</v>
      </c>
    </row>
    <row r="148">
      <c r="A148" s="14" t="s">
        <v>315</v>
      </c>
      <c r="B148" s="14" t="s">
        <v>316</v>
      </c>
      <c r="C148" s="19">
        <v>45534.0</v>
      </c>
      <c r="D148" s="14" t="s">
        <v>11</v>
      </c>
      <c r="E148" s="14" t="s">
        <v>83</v>
      </c>
    </row>
    <row r="149">
      <c r="A149" s="14" t="s">
        <v>317</v>
      </c>
      <c r="B149" s="14" t="s">
        <v>318</v>
      </c>
      <c r="C149" s="19">
        <v>45747.0</v>
      </c>
      <c r="D149" s="14" t="s">
        <v>11</v>
      </c>
      <c r="E149" s="14" t="s">
        <v>319</v>
      </c>
    </row>
    <row r="150">
      <c r="A150" s="14" t="s">
        <v>320</v>
      </c>
      <c r="B150" s="14" t="s">
        <v>321</v>
      </c>
      <c r="C150" s="19">
        <v>44970.0</v>
      </c>
      <c r="D150" s="14" t="s">
        <v>11</v>
      </c>
      <c r="E150" s="14" t="s">
        <v>12</v>
      </c>
    </row>
    <row r="151">
      <c r="A151" s="14" t="s">
        <v>322</v>
      </c>
      <c r="B151" s="14" t="s">
        <v>323</v>
      </c>
      <c r="C151" s="19">
        <v>45224.0</v>
      </c>
      <c r="D151" s="14" t="s">
        <v>11</v>
      </c>
      <c r="E151" s="14" t="s">
        <v>12</v>
      </c>
    </row>
    <row r="152">
      <c r="A152" s="14" t="s">
        <v>324</v>
      </c>
      <c r="B152" s="14" t="s">
        <v>325</v>
      </c>
      <c r="C152" s="19">
        <v>45548.0</v>
      </c>
      <c r="D152" s="14" t="s">
        <v>11</v>
      </c>
      <c r="E152" s="14" t="s">
        <v>83</v>
      </c>
    </row>
    <row r="153">
      <c r="A153" s="14" t="s">
        <v>326</v>
      </c>
      <c r="B153" s="14" t="s">
        <v>327</v>
      </c>
      <c r="C153" s="19">
        <v>45735.0</v>
      </c>
      <c r="D153" s="14" t="s">
        <v>11</v>
      </c>
      <c r="E153" s="14" t="s">
        <v>12</v>
      </c>
    </row>
    <row r="154">
      <c r="A154" s="14" t="s">
        <v>328</v>
      </c>
      <c r="B154" s="14" t="s">
        <v>329</v>
      </c>
      <c r="C154" s="19">
        <v>45520.0</v>
      </c>
      <c r="D154" s="14" t="s">
        <v>11</v>
      </c>
      <c r="E154" s="14" t="s">
        <v>12</v>
      </c>
    </row>
    <row r="155">
      <c r="A155" s="14" t="s">
        <v>330</v>
      </c>
      <c r="B155" s="14" t="s">
        <v>331</v>
      </c>
      <c r="C155" s="19">
        <v>44441.0</v>
      </c>
      <c r="D155" s="14" t="s">
        <v>22</v>
      </c>
      <c r="E155" s="14" t="s">
        <v>23</v>
      </c>
    </row>
    <row r="156">
      <c r="A156" s="14" t="s">
        <v>332</v>
      </c>
      <c r="B156" s="14" t="s">
        <v>333</v>
      </c>
      <c r="C156" s="19">
        <v>45497.0</v>
      </c>
      <c r="D156" s="14" t="s">
        <v>11</v>
      </c>
      <c r="E156" s="14" t="s">
        <v>12</v>
      </c>
    </row>
    <row r="157">
      <c r="A157" s="14" t="s">
        <v>334</v>
      </c>
      <c r="B157" s="14" t="s">
        <v>335</v>
      </c>
      <c r="C157" s="19">
        <v>44874.0</v>
      </c>
      <c r="D157" s="14" t="s">
        <v>11</v>
      </c>
      <c r="E157" s="14" t="s">
        <v>12</v>
      </c>
    </row>
    <row r="158">
      <c r="A158" s="14" t="s">
        <v>336</v>
      </c>
      <c r="B158" s="14" t="s">
        <v>337</v>
      </c>
      <c r="C158" s="19">
        <v>45706.0</v>
      </c>
      <c r="D158" s="14" t="s">
        <v>11</v>
      </c>
      <c r="E158" s="14" t="s">
        <v>12</v>
      </c>
    </row>
    <row r="159">
      <c r="A159" s="14" t="s">
        <v>338</v>
      </c>
      <c r="B159" s="14" t="s">
        <v>339</v>
      </c>
      <c r="C159" s="19">
        <v>45013.0</v>
      </c>
      <c r="D159" s="14" t="s">
        <v>11</v>
      </c>
      <c r="E159" s="14" t="s">
        <v>12</v>
      </c>
    </row>
    <row r="160">
      <c r="A160" s="14" t="s">
        <v>340</v>
      </c>
      <c r="B160" s="14" t="s">
        <v>341</v>
      </c>
      <c r="C160" s="19">
        <v>45699.0</v>
      </c>
      <c r="D160" s="14" t="s">
        <v>11</v>
      </c>
      <c r="E160" s="14" t="s">
        <v>12</v>
      </c>
    </row>
    <row r="161">
      <c r="A161" s="14" t="s">
        <v>342</v>
      </c>
      <c r="B161" s="14" t="s">
        <v>343</v>
      </c>
      <c r="C161" s="19">
        <v>45681.0</v>
      </c>
      <c r="D161" s="14" t="s">
        <v>11</v>
      </c>
      <c r="E161" s="14" t="s">
        <v>12</v>
      </c>
    </row>
    <row r="162">
      <c r="A162" s="14" t="s">
        <v>344</v>
      </c>
      <c r="B162" s="14" t="s">
        <v>345</v>
      </c>
      <c r="C162" s="19">
        <v>45624.0</v>
      </c>
      <c r="D162" s="14" t="s">
        <v>40</v>
      </c>
      <c r="E162" s="14" t="s">
        <v>91</v>
      </c>
    </row>
    <row r="163">
      <c r="A163" s="14" t="s">
        <v>346</v>
      </c>
      <c r="B163" s="14" t="s">
        <v>347</v>
      </c>
      <c r="C163" s="19">
        <v>45783.0</v>
      </c>
      <c r="D163" s="14" t="s">
        <v>11</v>
      </c>
      <c r="E163" s="14" t="s">
        <v>12</v>
      </c>
    </row>
    <row r="164">
      <c r="A164" s="14" t="s">
        <v>348</v>
      </c>
      <c r="B164" s="14" t="s">
        <v>349</v>
      </c>
      <c r="C164" s="19">
        <v>45224.0</v>
      </c>
      <c r="D164" s="14" t="s">
        <v>11</v>
      </c>
      <c r="E164" s="14" t="s">
        <v>12</v>
      </c>
    </row>
    <row r="165">
      <c r="A165" s="14" t="s">
        <v>350</v>
      </c>
      <c r="B165" s="14" t="s">
        <v>351</v>
      </c>
      <c r="C165" s="19">
        <v>44725.0</v>
      </c>
      <c r="D165" s="14" t="s">
        <v>11</v>
      </c>
      <c r="E165" s="14" t="s">
        <v>12</v>
      </c>
    </row>
    <row r="166">
      <c r="A166" s="14" t="s">
        <v>352</v>
      </c>
      <c r="B166" s="14" t="s">
        <v>353</v>
      </c>
      <c r="C166" s="19">
        <v>44725.0</v>
      </c>
      <c r="D166" s="14" t="s">
        <v>11</v>
      </c>
      <c r="E166" s="14" t="s">
        <v>12</v>
      </c>
    </row>
    <row r="167">
      <c r="A167" s="14" t="s">
        <v>354</v>
      </c>
      <c r="B167" s="14" t="s">
        <v>355</v>
      </c>
      <c r="C167" s="19">
        <v>45706.0</v>
      </c>
      <c r="D167" s="14" t="s">
        <v>11</v>
      </c>
      <c r="E167" s="14" t="s">
        <v>12</v>
      </c>
    </row>
    <row r="168">
      <c r="A168" s="14" t="s">
        <v>356</v>
      </c>
      <c r="B168" s="14" t="s">
        <v>357</v>
      </c>
      <c r="C168" s="19">
        <v>45650.0</v>
      </c>
      <c r="D168" s="14" t="s">
        <v>11</v>
      </c>
      <c r="E168" s="14" t="s">
        <v>83</v>
      </c>
    </row>
    <row r="169">
      <c r="A169" s="14" t="s">
        <v>358</v>
      </c>
      <c r="B169" s="14" t="s">
        <v>359</v>
      </c>
      <c r="C169" s="19">
        <v>45294.0</v>
      </c>
      <c r="D169" s="14" t="s">
        <v>11</v>
      </c>
      <c r="E169" s="14" t="s">
        <v>254</v>
      </c>
    </row>
    <row r="170">
      <c r="A170" s="14" t="s">
        <v>358</v>
      </c>
      <c r="B170" s="14" t="s">
        <v>360</v>
      </c>
      <c r="C170" s="19">
        <v>45296.0</v>
      </c>
      <c r="D170" s="14" t="s">
        <v>40</v>
      </c>
      <c r="E170" s="14" t="s">
        <v>254</v>
      </c>
    </row>
    <row r="171">
      <c r="A171" s="14" t="s">
        <v>361</v>
      </c>
      <c r="B171" s="14" t="s">
        <v>362</v>
      </c>
      <c r="C171" s="19">
        <v>45548.0</v>
      </c>
      <c r="D171" s="14" t="s">
        <v>40</v>
      </c>
      <c r="E171" s="14" t="s">
        <v>83</v>
      </c>
    </row>
    <row r="172">
      <c r="A172" s="14" t="s">
        <v>363</v>
      </c>
      <c r="B172" s="14" t="s">
        <v>364</v>
      </c>
      <c r="C172" s="19">
        <v>45727.0</v>
      </c>
      <c r="D172" s="14" t="s">
        <v>11</v>
      </c>
      <c r="E172" s="14" t="s">
        <v>12</v>
      </c>
    </row>
    <row r="173">
      <c r="A173" s="14" t="s">
        <v>365</v>
      </c>
      <c r="B173" s="14" t="s">
        <v>366</v>
      </c>
      <c r="C173" s="19">
        <v>45342.0</v>
      </c>
      <c r="D173" s="14" t="s">
        <v>40</v>
      </c>
      <c r="E173" s="14" t="s">
        <v>12</v>
      </c>
    </row>
    <row r="174">
      <c r="A174" s="14" t="s">
        <v>365</v>
      </c>
      <c r="B174" s="14" t="s">
        <v>367</v>
      </c>
      <c r="C174" s="19">
        <v>45384.0</v>
      </c>
      <c r="D174" s="14" t="s">
        <v>11</v>
      </c>
      <c r="E174" s="14" t="s">
        <v>12</v>
      </c>
    </row>
    <row r="175">
      <c r="A175" s="14" t="s">
        <v>368</v>
      </c>
      <c r="B175" s="14" t="s">
        <v>369</v>
      </c>
      <c r="C175" s="19">
        <v>45271.0</v>
      </c>
      <c r="D175" s="14" t="s">
        <v>11</v>
      </c>
      <c r="E175" s="14" t="s">
        <v>139</v>
      </c>
    </row>
    <row r="176">
      <c r="A176" s="14" t="s">
        <v>370</v>
      </c>
      <c r="B176" s="14" t="s">
        <v>371</v>
      </c>
      <c r="C176" s="19">
        <v>45650.0</v>
      </c>
      <c r="D176" s="14" t="s">
        <v>11</v>
      </c>
      <c r="E176" s="14" t="s">
        <v>83</v>
      </c>
    </row>
    <row r="177">
      <c r="A177" s="14" t="s">
        <v>370</v>
      </c>
      <c r="B177" s="14" t="s">
        <v>372</v>
      </c>
      <c r="C177" s="19">
        <v>45755.0</v>
      </c>
      <c r="D177" s="14" t="s">
        <v>40</v>
      </c>
      <c r="E177" s="14" t="s">
        <v>83</v>
      </c>
    </row>
    <row r="178">
      <c r="A178" s="14" t="s">
        <v>373</v>
      </c>
      <c r="B178" s="14" t="s">
        <v>374</v>
      </c>
      <c r="C178" s="19">
        <v>45506.0</v>
      </c>
      <c r="D178" s="14" t="s">
        <v>11</v>
      </c>
      <c r="E178" s="14" t="s">
        <v>83</v>
      </c>
    </row>
    <row r="179">
      <c r="A179" s="14" t="s">
        <v>375</v>
      </c>
      <c r="B179" s="14" t="s">
        <v>376</v>
      </c>
      <c r="C179" s="19">
        <v>45680.0</v>
      </c>
      <c r="D179" s="14" t="s">
        <v>11</v>
      </c>
      <c r="E179" s="14" t="s">
        <v>213</v>
      </c>
    </row>
    <row r="180">
      <c r="A180" s="14" t="s">
        <v>375</v>
      </c>
      <c r="B180" s="14" t="s">
        <v>377</v>
      </c>
      <c r="C180" s="19">
        <v>45680.0</v>
      </c>
      <c r="D180" s="14" t="s">
        <v>40</v>
      </c>
      <c r="E180" s="14" t="s">
        <v>213</v>
      </c>
    </row>
    <row r="181">
      <c r="A181" s="14" t="s">
        <v>378</v>
      </c>
      <c r="B181" s="14" t="s">
        <v>379</v>
      </c>
      <c r="C181" s="19">
        <v>45706.0</v>
      </c>
      <c r="D181" s="14" t="s">
        <v>40</v>
      </c>
      <c r="E181" s="14" t="s">
        <v>12</v>
      </c>
    </row>
    <row r="182">
      <c r="A182" s="14" t="s">
        <v>378</v>
      </c>
      <c r="B182" s="14" t="s">
        <v>380</v>
      </c>
      <c r="C182" s="19">
        <v>45742.0</v>
      </c>
      <c r="D182" s="14" t="s">
        <v>11</v>
      </c>
      <c r="E182" s="14" t="s">
        <v>12</v>
      </c>
    </row>
    <row r="183">
      <c r="A183" s="14" t="s">
        <v>381</v>
      </c>
      <c r="B183" s="14" t="s">
        <v>382</v>
      </c>
      <c r="C183" s="19">
        <v>45436.0</v>
      </c>
      <c r="D183" s="14" t="s">
        <v>11</v>
      </c>
      <c r="E183" s="14" t="s">
        <v>83</v>
      </c>
    </row>
    <row r="184">
      <c r="A184" s="14" t="s">
        <v>381</v>
      </c>
      <c r="B184" s="14" t="s">
        <v>383</v>
      </c>
      <c r="C184" s="19">
        <v>45520.0</v>
      </c>
      <c r="D184" s="14" t="s">
        <v>40</v>
      </c>
      <c r="E184" s="14" t="s">
        <v>83</v>
      </c>
    </row>
    <row r="185">
      <c r="A185" s="14" t="s">
        <v>384</v>
      </c>
      <c r="B185" s="14" t="s">
        <v>385</v>
      </c>
      <c r="C185" s="19">
        <v>45741.0</v>
      </c>
      <c r="D185" s="14" t="s">
        <v>11</v>
      </c>
      <c r="E185" s="14" t="s">
        <v>12</v>
      </c>
    </row>
    <row r="186">
      <c r="A186" s="14" t="s">
        <v>386</v>
      </c>
      <c r="B186" s="14" t="s">
        <v>387</v>
      </c>
      <c r="C186" s="19">
        <v>45790.0</v>
      </c>
      <c r="D186" s="14" t="s">
        <v>11</v>
      </c>
      <c r="E186" s="14" t="s">
        <v>12</v>
      </c>
    </row>
    <row r="187">
      <c r="A187" s="14" t="s">
        <v>388</v>
      </c>
      <c r="B187" s="14" t="s">
        <v>389</v>
      </c>
      <c r="C187" s="19">
        <v>45436.0</v>
      </c>
      <c r="D187" s="14" t="s">
        <v>11</v>
      </c>
      <c r="E187" s="14" t="s">
        <v>12</v>
      </c>
    </row>
    <row r="188">
      <c r="A188" s="14" t="s">
        <v>390</v>
      </c>
      <c r="B188" s="14" t="s">
        <v>391</v>
      </c>
      <c r="C188" s="19">
        <v>45741.0</v>
      </c>
      <c r="D188" s="14" t="s">
        <v>11</v>
      </c>
      <c r="E188" s="14" t="s">
        <v>12</v>
      </c>
    </row>
    <row r="189">
      <c r="A189" s="14" t="s">
        <v>392</v>
      </c>
      <c r="B189" s="14" t="s">
        <v>393</v>
      </c>
      <c r="C189" s="19">
        <v>44874.0</v>
      </c>
      <c r="D189" s="14" t="s">
        <v>11</v>
      </c>
      <c r="E189" s="14" t="s">
        <v>12</v>
      </c>
    </row>
    <row r="190">
      <c r="A190" s="14" t="s">
        <v>394</v>
      </c>
      <c r="B190" s="14" t="s">
        <v>395</v>
      </c>
      <c r="C190" s="19">
        <v>44725.0</v>
      </c>
      <c r="D190" s="14" t="s">
        <v>11</v>
      </c>
      <c r="E190" s="14" t="s">
        <v>12</v>
      </c>
    </row>
    <row r="191">
      <c r="A191" s="14" t="s">
        <v>396</v>
      </c>
      <c r="B191" s="14" t="s">
        <v>397</v>
      </c>
      <c r="C191" s="19">
        <v>45497.0</v>
      </c>
      <c r="D191" s="14" t="s">
        <v>11</v>
      </c>
      <c r="E191" s="14" t="s">
        <v>12</v>
      </c>
    </row>
    <row r="192">
      <c r="A192" s="14" t="s">
        <v>398</v>
      </c>
      <c r="B192" s="14" t="s">
        <v>399</v>
      </c>
      <c r="C192" s="19">
        <v>45015.0</v>
      </c>
      <c r="D192" s="14" t="s">
        <v>11</v>
      </c>
      <c r="E192" s="14" t="s">
        <v>12</v>
      </c>
    </row>
    <row r="193">
      <c r="A193" s="14" t="s">
        <v>400</v>
      </c>
      <c r="B193" s="14" t="s">
        <v>401</v>
      </c>
      <c r="C193" s="19">
        <v>45624.0</v>
      </c>
      <c r="D193" s="14" t="s">
        <v>11</v>
      </c>
      <c r="E193" s="14" t="s">
        <v>12</v>
      </c>
    </row>
    <row r="194">
      <c r="A194" s="14" t="s">
        <v>402</v>
      </c>
      <c r="B194" s="14" t="s">
        <v>403</v>
      </c>
      <c r="C194" s="19">
        <v>45650.0</v>
      </c>
      <c r="D194" s="14" t="s">
        <v>11</v>
      </c>
      <c r="E194" s="14" t="s">
        <v>12</v>
      </c>
    </row>
    <row r="195">
      <c r="A195" s="14" t="s">
        <v>404</v>
      </c>
      <c r="B195" s="14" t="s">
        <v>405</v>
      </c>
      <c r="C195" s="19">
        <v>44824.0</v>
      </c>
      <c r="D195" s="14" t="s">
        <v>11</v>
      </c>
      <c r="E195" s="14" t="s">
        <v>12</v>
      </c>
    </row>
    <row r="196">
      <c r="A196" s="14" t="s">
        <v>406</v>
      </c>
      <c r="B196" s="14" t="s">
        <v>407</v>
      </c>
      <c r="C196" s="19">
        <v>45426.0</v>
      </c>
      <c r="D196" s="14" t="s">
        <v>11</v>
      </c>
      <c r="E196" s="14" t="s">
        <v>12</v>
      </c>
    </row>
    <row r="197">
      <c r="A197" s="14" t="s">
        <v>408</v>
      </c>
      <c r="B197" s="14" t="s">
        <v>409</v>
      </c>
      <c r="C197" s="19">
        <v>45548.0</v>
      </c>
      <c r="D197" s="14" t="s">
        <v>11</v>
      </c>
      <c r="E197" s="14" t="s">
        <v>12</v>
      </c>
    </row>
    <row r="198">
      <c r="A198" s="14" t="s">
        <v>410</v>
      </c>
      <c r="B198" s="14" t="s">
        <v>411</v>
      </c>
      <c r="C198" s="19">
        <v>44970.0</v>
      </c>
      <c r="D198" s="14" t="s">
        <v>11</v>
      </c>
    </row>
    <row r="199">
      <c r="A199" s="14" t="s">
        <v>412</v>
      </c>
      <c r="B199" s="14" t="s">
        <v>413</v>
      </c>
      <c r="C199" s="19">
        <v>45713.0</v>
      </c>
      <c r="D199" s="14" t="s">
        <v>11</v>
      </c>
      <c r="E199" s="14" t="s">
        <v>12</v>
      </c>
    </row>
    <row r="200">
      <c r="A200" s="14" t="s">
        <v>412</v>
      </c>
      <c r="B200" s="14" t="s">
        <v>414</v>
      </c>
      <c r="C200" s="19">
        <v>45776.0</v>
      </c>
      <c r="D200" s="14" t="s">
        <v>40</v>
      </c>
      <c r="E200" s="14" t="s">
        <v>12</v>
      </c>
    </row>
    <row r="201">
      <c r="A201" s="14" t="s">
        <v>415</v>
      </c>
      <c r="B201" s="14" t="s">
        <v>416</v>
      </c>
      <c r="C201" s="19">
        <v>44965.0</v>
      </c>
      <c r="D201" s="14" t="s">
        <v>11</v>
      </c>
      <c r="E201" s="14" t="s">
        <v>58</v>
      </c>
    </row>
    <row r="202">
      <c r="A202" s="14" t="s">
        <v>415</v>
      </c>
      <c r="B202" s="14" t="s">
        <v>417</v>
      </c>
      <c r="C202" s="19">
        <v>45170.0</v>
      </c>
      <c r="D202" s="14" t="s">
        <v>40</v>
      </c>
      <c r="E202" s="14" t="s">
        <v>58</v>
      </c>
    </row>
    <row r="203">
      <c r="A203" s="14" t="s">
        <v>418</v>
      </c>
      <c r="B203" s="14" t="s">
        <v>419</v>
      </c>
      <c r="C203" s="19">
        <v>45485.0</v>
      </c>
      <c r="D203" s="14" t="s">
        <v>11</v>
      </c>
      <c r="E203" s="14" t="s">
        <v>12</v>
      </c>
    </row>
    <row r="204">
      <c r="A204" s="14" t="s">
        <v>420</v>
      </c>
      <c r="B204" s="14" t="s">
        <v>421</v>
      </c>
      <c r="C204" s="19">
        <v>45769.0</v>
      </c>
      <c r="D204" s="14" t="s">
        <v>11</v>
      </c>
      <c r="E204" s="14" t="s">
        <v>12</v>
      </c>
    </row>
    <row r="205">
      <c r="A205" s="14" t="s">
        <v>422</v>
      </c>
      <c r="B205" s="14" t="s">
        <v>423</v>
      </c>
      <c r="C205" s="19">
        <v>45013.0</v>
      </c>
      <c r="D205" s="14" t="s">
        <v>11</v>
      </c>
    </row>
    <row r="206">
      <c r="A206" s="14" t="s">
        <v>424</v>
      </c>
      <c r="B206" s="14" t="s">
        <v>425</v>
      </c>
      <c r="C206" s="19">
        <v>44858.0</v>
      </c>
      <c r="D206" s="14" t="s">
        <v>11</v>
      </c>
      <c r="E206" s="14" t="s">
        <v>12</v>
      </c>
    </row>
    <row r="207">
      <c r="A207" s="14" t="s">
        <v>426</v>
      </c>
      <c r="B207" s="14" t="s">
        <v>427</v>
      </c>
      <c r="C207" s="19">
        <v>44845.0</v>
      </c>
      <c r="D207" s="14" t="s">
        <v>11</v>
      </c>
      <c r="E207" s="14" t="s">
        <v>12</v>
      </c>
    </row>
    <row r="208">
      <c r="A208" s="14" t="s">
        <v>428</v>
      </c>
      <c r="B208" s="14" t="s">
        <v>429</v>
      </c>
      <c r="C208" s="19">
        <v>45187.0</v>
      </c>
      <c r="D208" s="14" t="s">
        <v>40</v>
      </c>
      <c r="E208" s="14" t="s">
        <v>12</v>
      </c>
    </row>
    <row r="209">
      <c r="A209" s="14" t="s">
        <v>428</v>
      </c>
      <c r="B209" s="14" t="s">
        <v>430</v>
      </c>
      <c r="C209" s="19">
        <v>45224.0</v>
      </c>
      <c r="D209" s="14" t="s">
        <v>11</v>
      </c>
      <c r="E209" s="14" t="s">
        <v>12</v>
      </c>
    </row>
    <row r="210">
      <c r="A210" s="14" t="s">
        <v>431</v>
      </c>
      <c r="B210" s="14" t="s">
        <v>432</v>
      </c>
      <c r="C210" s="19">
        <v>45506.0</v>
      </c>
      <c r="D210" s="14" t="s">
        <v>11</v>
      </c>
      <c r="E210" s="14" t="s">
        <v>12</v>
      </c>
    </row>
    <row r="211">
      <c r="A211" s="14" t="s">
        <v>433</v>
      </c>
      <c r="B211" s="14" t="s">
        <v>434</v>
      </c>
      <c r="C211" s="19">
        <v>44845.0</v>
      </c>
      <c r="D211" s="14" t="s">
        <v>11</v>
      </c>
      <c r="E211" s="14" t="s">
        <v>12</v>
      </c>
    </row>
    <row r="212">
      <c r="A212" s="14" t="s">
        <v>435</v>
      </c>
      <c r="B212" s="14" t="s">
        <v>436</v>
      </c>
      <c r="C212" s="19">
        <v>45624.0</v>
      </c>
      <c r="D212" s="14" t="s">
        <v>11</v>
      </c>
      <c r="E212" s="14" t="s">
        <v>12</v>
      </c>
    </row>
    <row r="213">
      <c r="A213" s="14" t="s">
        <v>437</v>
      </c>
      <c r="B213" s="14" t="s">
        <v>438</v>
      </c>
      <c r="C213" s="19">
        <v>45022.0</v>
      </c>
      <c r="D213" s="14" t="s">
        <v>11</v>
      </c>
    </row>
    <row r="214">
      <c r="A214" s="14" t="s">
        <v>439</v>
      </c>
      <c r="B214" s="14" t="s">
        <v>440</v>
      </c>
      <c r="C214" s="19">
        <v>45307.0</v>
      </c>
      <c r="D214" s="14" t="s">
        <v>11</v>
      </c>
      <c r="E214" s="14" t="s">
        <v>12</v>
      </c>
    </row>
    <row r="215">
      <c r="A215" s="14" t="s">
        <v>441</v>
      </c>
      <c r="B215" s="14" t="s">
        <v>442</v>
      </c>
      <c r="C215" s="19">
        <v>45485.0</v>
      </c>
      <c r="D215" s="14" t="s">
        <v>11</v>
      </c>
      <c r="E215" s="14" t="s">
        <v>58</v>
      </c>
    </row>
    <row r="216">
      <c r="A216" s="14" t="s">
        <v>443</v>
      </c>
      <c r="B216" s="14" t="s">
        <v>444</v>
      </c>
      <c r="C216" s="19">
        <v>44725.0</v>
      </c>
      <c r="D216" s="14" t="s">
        <v>11</v>
      </c>
      <c r="E216" s="14" t="s">
        <v>12</v>
      </c>
    </row>
    <row r="217">
      <c r="A217" s="14" t="s">
        <v>445</v>
      </c>
      <c r="B217" s="14" t="s">
        <v>446</v>
      </c>
      <c r="C217" s="19">
        <v>45294.0</v>
      </c>
      <c r="D217" s="14" t="s">
        <v>11</v>
      </c>
      <c r="E217" s="14" t="s">
        <v>12</v>
      </c>
    </row>
    <row r="218">
      <c r="A218" s="14" t="s">
        <v>447</v>
      </c>
      <c r="B218" s="14" t="s">
        <v>448</v>
      </c>
      <c r="C218" s="19">
        <v>45650.0</v>
      </c>
      <c r="D218" s="14" t="s">
        <v>11</v>
      </c>
      <c r="E218" s="14" t="s">
        <v>12</v>
      </c>
    </row>
    <row r="219">
      <c r="A219" s="14" t="s">
        <v>449</v>
      </c>
      <c r="B219" s="14" t="s">
        <v>450</v>
      </c>
      <c r="C219" s="19">
        <v>45720.0</v>
      </c>
      <c r="D219" s="14" t="s">
        <v>11</v>
      </c>
      <c r="E219" s="14" t="s">
        <v>12</v>
      </c>
    </row>
    <row r="220">
      <c r="A220" s="14" t="s">
        <v>451</v>
      </c>
      <c r="B220" s="14" t="s">
        <v>452</v>
      </c>
      <c r="C220" s="19">
        <v>45112.0</v>
      </c>
      <c r="D220" s="14" t="s">
        <v>11</v>
      </c>
      <c r="E220" s="14" t="s">
        <v>38</v>
      </c>
    </row>
    <row r="221">
      <c r="A221" s="14" t="s">
        <v>453</v>
      </c>
      <c r="B221" s="14" t="s">
        <v>454</v>
      </c>
      <c r="C221" s="19">
        <v>44441.0</v>
      </c>
      <c r="D221" s="14" t="s">
        <v>22</v>
      </c>
      <c r="E221" s="14" t="s">
        <v>23</v>
      </c>
    </row>
    <row r="222">
      <c r="A222" s="14" t="s">
        <v>455</v>
      </c>
      <c r="B222" s="14" t="s">
        <v>456</v>
      </c>
      <c r="C222" s="19">
        <v>44459.0</v>
      </c>
      <c r="D222" s="14" t="s">
        <v>11</v>
      </c>
      <c r="E222" s="14" t="s">
        <v>58</v>
      </c>
    </row>
    <row r="223">
      <c r="A223" s="14" t="s">
        <v>457</v>
      </c>
      <c r="B223" s="14" t="s">
        <v>458</v>
      </c>
      <c r="C223" s="19">
        <v>45294.0</v>
      </c>
      <c r="D223" s="14" t="s">
        <v>11</v>
      </c>
      <c r="E223" s="14" t="s">
        <v>23</v>
      </c>
    </row>
    <row r="224">
      <c r="A224" s="14" t="s">
        <v>459</v>
      </c>
      <c r="B224" s="14" t="s">
        <v>460</v>
      </c>
      <c r="C224" s="19">
        <v>45365.0</v>
      </c>
      <c r="D224" s="14" t="s">
        <v>11</v>
      </c>
      <c r="E224" s="14" t="s">
        <v>136</v>
      </c>
    </row>
    <row r="225">
      <c r="A225" s="14" t="s">
        <v>459</v>
      </c>
      <c r="B225" s="14" t="s">
        <v>461</v>
      </c>
      <c r="C225" s="19">
        <v>45365.0</v>
      </c>
      <c r="D225" s="14" t="s">
        <v>40</v>
      </c>
      <c r="E225" s="14" t="s">
        <v>136</v>
      </c>
    </row>
    <row r="226">
      <c r="A226" s="14" t="s">
        <v>462</v>
      </c>
      <c r="B226" s="14" t="s">
        <v>463</v>
      </c>
      <c r="C226" s="19">
        <v>45680.0</v>
      </c>
      <c r="D226" s="14" t="s">
        <v>40</v>
      </c>
      <c r="E226" s="14" t="s">
        <v>464</v>
      </c>
    </row>
    <row r="227">
      <c r="A227" s="14" t="s">
        <v>462</v>
      </c>
      <c r="B227" s="14" t="s">
        <v>465</v>
      </c>
      <c r="C227" s="19">
        <v>45680.0</v>
      </c>
      <c r="D227" s="14" t="s">
        <v>11</v>
      </c>
      <c r="E227" s="14" t="s">
        <v>464</v>
      </c>
    </row>
    <row r="228">
      <c r="A228" s="14" t="s">
        <v>466</v>
      </c>
      <c r="B228" s="14" t="s">
        <v>467</v>
      </c>
      <c r="C228" s="19">
        <v>45790.0</v>
      </c>
      <c r="D228" s="14" t="s">
        <v>11</v>
      </c>
      <c r="E228" s="14" t="s">
        <v>468</v>
      </c>
    </row>
    <row r="229">
      <c r="A229" s="14" t="s">
        <v>469</v>
      </c>
      <c r="B229" s="14" t="s">
        <v>470</v>
      </c>
      <c r="C229" s="19">
        <v>44725.0</v>
      </c>
      <c r="D229" s="14" t="s">
        <v>11</v>
      </c>
      <c r="E229" s="14" t="s">
        <v>12</v>
      </c>
    </row>
    <row r="230">
      <c r="A230" s="14" t="s">
        <v>471</v>
      </c>
      <c r="B230" s="14" t="s">
        <v>472</v>
      </c>
      <c r="C230" s="19">
        <v>45790.0</v>
      </c>
      <c r="D230" s="14" t="s">
        <v>11</v>
      </c>
      <c r="E230" s="14" t="s">
        <v>12</v>
      </c>
    </row>
    <row r="231">
      <c r="A231" s="14" t="s">
        <v>473</v>
      </c>
      <c r="B231" s="14" t="s">
        <v>474</v>
      </c>
      <c r="C231" s="19">
        <v>45244.0</v>
      </c>
      <c r="D231" s="14" t="s">
        <v>11</v>
      </c>
      <c r="E231" s="14" t="s">
        <v>12</v>
      </c>
    </row>
    <row r="232">
      <c r="A232" s="14" t="s">
        <v>475</v>
      </c>
      <c r="B232" s="14" t="s">
        <v>476</v>
      </c>
      <c r="C232" s="19">
        <v>45244.0</v>
      </c>
      <c r="D232" s="14" t="s">
        <v>11</v>
      </c>
    </row>
    <row r="233">
      <c r="A233" s="14" t="s">
        <v>477</v>
      </c>
      <c r="B233" s="14" t="s">
        <v>478</v>
      </c>
      <c r="C233" s="19">
        <v>45174.0</v>
      </c>
      <c r="D233" s="14" t="s">
        <v>40</v>
      </c>
      <c r="E233" s="14" t="s">
        <v>254</v>
      </c>
    </row>
    <row r="234">
      <c r="A234" s="14" t="s">
        <v>477</v>
      </c>
      <c r="B234" s="14" t="s">
        <v>479</v>
      </c>
      <c r="C234" s="19">
        <v>45244.0</v>
      </c>
      <c r="D234" s="14" t="s">
        <v>11</v>
      </c>
      <c r="E234" s="14" t="s">
        <v>254</v>
      </c>
    </row>
    <row r="235">
      <c r="A235" s="14" t="s">
        <v>480</v>
      </c>
      <c r="B235" s="14" t="s">
        <v>481</v>
      </c>
      <c r="C235" s="19">
        <v>45158.0</v>
      </c>
      <c r="D235" s="14" t="s">
        <v>11</v>
      </c>
      <c r="E235" s="14" t="s">
        <v>482</v>
      </c>
    </row>
    <row r="236">
      <c r="A236" s="14" t="s">
        <v>483</v>
      </c>
      <c r="B236" s="14" t="s">
        <v>484</v>
      </c>
      <c r="C236" s="19">
        <v>44909.0</v>
      </c>
      <c r="D236" s="14" t="s">
        <v>11</v>
      </c>
      <c r="E236" s="14" t="s">
        <v>220</v>
      </c>
    </row>
    <row r="237">
      <c r="A237" s="14" t="s">
        <v>483</v>
      </c>
      <c r="B237" s="14" t="s">
        <v>485</v>
      </c>
      <c r="C237" s="19">
        <v>45033.0</v>
      </c>
      <c r="D237" s="14" t="s">
        <v>40</v>
      </c>
      <c r="E237" s="14" t="s">
        <v>220</v>
      </c>
    </row>
    <row r="238">
      <c r="A238" s="14" t="s">
        <v>486</v>
      </c>
      <c r="B238" s="14" t="s">
        <v>487</v>
      </c>
      <c r="C238" s="19">
        <v>45650.0</v>
      </c>
      <c r="D238" s="14" t="s">
        <v>11</v>
      </c>
      <c r="E238" s="14" t="s">
        <v>488</v>
      </c>
    </row>
    <row r="239">
      <c r="A239" s="14" t="s">
        <v>489</v>
      </c>
      <c r="B239" s="14" t="s">
        <v>490</v>
      </c>
      <c r="C239" s="19">
        <v>44302.0</v>
      </c>
      <c r="D239" s="14" t="s">
        <v>69</v>
      </c>
      <c r="E239" s="14" t="s">
        <v>491</v>
      </c>
    </row>
    <row r="240">
      <c r="A240" s="14" t="s">
        <v>492</v>
      </c>
      <c r="B240" s="14" t="s">
        <v>493</v>
      </c>
      <c r="C240" s="19">
        <v>45506.0</v>
      </c>
      <c r="D240" s="14" t="s">
        <v>11</v>
      </c>
      <c r="E240" s="14" t="s">
        <v>494</v>
      </c>
    </row>
    <row r="241">
      <c r="A241" s="14" t="s">
        <v>492</v>
      </c>
      <c r="B241" s="14" t="s">
        <v>495</v>
      </c>
      <c r="C241" s="19">
        <v>45595.0</v>
      </c>
      <c r="D241" s="14" t="s">
        <v>40</v>
      </c>
      <c r="E241" s="14" t="s">
        <v>494</v>
      </c>
    </row>
    <row r="242">
      <c r="A242" s="14" t="s">
        <v>496</v>
      </c>
      <c r="B242" s="14" t="s">
        <v>497</v>
      </c>
      <c r="C242" s="19">
        <v>44801.0</v>
      </c>
      <c r="D242" s="14" t="s">
        <v>11</v>
      </c>
      <c r="E242" s="14" t="s">
        <v>58</v>
      </c>
    </row>
    <row r="243">
      <c r="A243" s="14" t="s">
        <v>498</v>
      </c>
      <c r="B243" s="14" t="s">
        <v>499</v>
      </c>
      <c r="C243" s="19">
        <v>45595.0</v>
      </c>
      <c r="D243" s="14" t="s">
        <v>11</v>
      </c>
      <c r="E243" s="14" t="s">
        <v>58</v>
      </c>
    </row>
    <row r="244">
      <c r="A244" s="14" t="s">
        <v>500</v>
      </c>
      <c r="B244" s="14" t="s">
        <v>501</v>
      </c>
      <c r="C244" s="19">
        <v>45158.0</v>
      </c>
      <c r="D244" s="14" t="s">
        <v>11</v>
      </c>
      <c r="E244" s="14" t="s">
        <v>139</v>
      </c>
    </row>
    <row r="245">
      <c r="A245" s="14" t="s">
        <v>502</v>
      </c>
      <c r="B245" s="14" t="s">
        <v>503</v>
      </c>
      <c r="C245" s="19">
        <v>45798.0</v>
      </c>
      <c r="D245" s="14" t="s">
        <v>40</v>
      </c>
      <c r="E245" s="14" t="s">
        <v>38</v>
      </c>
    </row>
    <row r="246">
      <c r="A246" s="14" t="s">
        <v>504</v>
      </c>
      <c r="B246" s="14" t="s">
        <v>505</v>
      </c>
      <c r="C246" s="19">
        <v>45776.0</v>
      </c>
      <c r="D246" s="14" t="s">
        <v>40</v>
      </c>
      <c r="E246" s="14" t="s">
        <v>506</v>
      </c>
    </row>
    <row r="247">
      <c r="A247" s="14" t="s">
        <v>507</v>
      </c>
      <c r="B247" s="20" t="s">
        <v>508</v>
      </c>
      <c r="C247" s="19">
        <v>44566.0</v>
      </c>
      <c r="D247" s="14" t="s">
        <v>11</v>
      </c>
      <c r="E247" s="14" t="s">
        <v>509</v>
      </c>
    </row>
    <row r="248">
      <c r="A248" s="14" t="s">
        <v>507</v>
      </c>
      <c r="B248" s="20" t="s">
        <v>510</v>
      </c>
      <c r="C248" s="19">
        <v>44648.0</v>
      </c>
      <c r="D248" s="14" t="s">
        <v>40</v>
      </c>
      <c r="E248" s="14" t="s">
        <v>509</v>
      </c>
    </row>
    <row r="249">
      <c r="A249" s="14" t="s">
        <v>511</v>
      </c>
      <c r="B249" s="14" t="s">
        <v>512</v>
      </c>
      <c r="C249" s="19">
        <v>45158.0</v>
      </c>
      <c r="D249" s="14" t="s">
        <v>11</v>
      </c>
      <c r="E249" s="14" t="s">
        <v>513</v>
      </c>
    </row>
    <row r="250">
      <c r="A250" s="14" t="s">
        <v>514</v>
      </c>
      <c r="B250" s="14" t="s">
        <v>515</v>
      </c>
      <c r="C250" s="19">
        <v>45173.0</v>
      </c>
      <c r="D250" s="14" t="s">
        <v>40</v>
      </c>
      <c r="E250" s="14" t="s">
        <v>464</v>
      </c>
    </row>
    <row r="251">
      <c r="A251" s="14" t="s">
        <v>514</v>
      </c>
      <c r="B251" s="14" t="s">
        <v>516</v>
      </c>
      <c r="C251" s="19">
        <v>45250.0</v>
      </c>
      <c r="D251" s="14" t="s">
        <v>11</v>
      </c>
      <c r="E251" s="14" t="s">
        <v>464</v>
      </c>
    </row>
    <row r="252">
      <c r="A252" s="14" t="s">
        <v>517</v>
      </c>
      <c r="B252" s="14" t="s">
        <v>518</v>
      </c>
      <c r="C252" s="19">
        <v>45244.0</v>
      </c>
      <c r="D252" s="14" t="s">
        <v>11</v>
      </c>
      <c r="E252" s="14" t="s">
        <v>38</v>
      </c>
    </row>
    <row r="253">
      <c r="A253" s="14" t="s">
        <v>519</v>
      </c>
      <c r="B253" s="14" t="s">
        <v>520</v>
      </c>
      <c r="C253" s="19">
        <v>45783.0</v>
      </c>
      <c r="D253" s="14" t="s">
        <v>40</v>
      </c>
      <c r="E253" s="14" t="s">
        <v>61</v>
      </c>
    </row>
    <row r="254">
      <c r="A254" s="14" t="s">
        <v>521</v>
      </c>
      <c r="B254" s="14" t="s">
        <v>522</v>
      </c>
      <c r="C254" s="19">
        <v>45680.0</v>
      </c>
      <c r="D254" s="14" t="s">
        <v>11</v>
      </c>
      <c r="E254" s="14" t="s">
        <v>464</v>
      </c>
    </row>
    <row r="255">
      <c r="A255" s="14" t="s">
        <v>521</v>
      </c>
      <c r="B255" s="14" t="s">
        <v>523</v>
      </c>
      <c r="C255" s="19">
        <v>45680.0</v>
      </c>
      <c r="D255" s="14" t="s">
        <v>40</v>
      </c>
      <c r="E255" s="14" t="s">
        <v>464</v>
      </c>
    </row>
    <row r="256">
      <c r="A256" s="14" t="s">
        <v>524</v>
      </c>
      <c r="B256" s="14" t="s">
        <v>525</v>
      </c>
      <c r="C256" s="19">
        <v>45595.0</v>
      </c>
      <c r="D256" s="14" t="s">
        <v>11</v>
      </c>
      <c r="E256" s="14" t="s">
        <v>91</v>
      </c>
    </row>
    <row r="257">
      <c r="A257" s="14" t="s">
        <v>526</v>
      </c>
      <c r="B257" s="14" t="s">
        <v>527</v>
      </c>
      <c r="C257" s="19">
        <v>45798.0</v>
      </c>
      <c r="D257" s="14" t="s">
        <v>11</v>
      </c>
      <c r="E257" s="14" t="s">
        <v>12</v>
      </c>
    </row>
    <row r="258">
      <c r="A258" s="14" t="s">
        <v>528</v>
      </c>
      <c r="B258" s="14" t="s">
        <v>529</v>
      </c>
      <c r="C258" s="19">
        <v>45485.0</v>
      </c>
      <c r="D258" s="14" t="s">
        <v>11</v>
      </c>
      <c r="E258" s="14" t="s">
        <v>192</v>
      </c>
    </row>
    <row r="259">
      <c r="A259" s="14" t="s">
        <v>528</v>
      </c>
      <c r="B259" s="14" t="s">
        <v>530</v>
      </c>
      <c r="C259" s="19">
        <v>45534.0</v>
      </c>
      <c r="D259" s="14" t="s">
        <v>40</v>
      </c>
      <c r="E259" s="14" t="s">
        <v>192</v>
      </c>
    </row>
    <row r="260">
      <c r="A260" s="14" t="s">
        <v>531</v>
      </c>
      <c r="B260" s="14" t="s">
        <v>532</v>
      </c>
      <c r="C260" s="19">
        <v>45783.0</v>
      </c>
      <c r="D260" s="14" t="s">
        <v>11</v>
      </c>
      <c r="E260" s="14" t="s">
        <v>12</v>
      </c>
    </row>
    <row r="261">
      <c r="A261" s="14" t="s">
        <v>533</v>
      </c>
      <c r="B261" s="14" t="s">
        <v>534</v>
      </c>
      <c r="C261" s="19">
        <v>45650.0</v>
      </c>
      <c r="D261" s="14" t="s">
        <v>11</v>
      </c>
      <c r="E261" s="14" t="s">
        <v>12</v>
      </c>
    </row>
    <row r="262">
      <c r="A262" s="14" t="s">
        <v>533</v>
      </c>
      <c r="B262" s="14" t="s">
        <v>535</v>
      </c>
      <c r="C262" s="19">
        <v>45769.0</v>
      </c>
      <c r="D262" s="14" t="s">
        <v>40</v>
      </c>
      <c r="E262" s="14" t="s">
        <v>12</v>
      </c>
    </row>
    <row r="263">
      <c r="A263" s="14" t="s">
        <v>536</v>
      </c>
      <c r="B263" s="14" t="s">
        <v>537</v>
      </c>
      <c r="C263" s="19">
        <v>45013.0</v>
      </c>
      <c r="D263" s="14" t="s">
        <v>11</v>
      </c>
    </row>
    <row r="264">
      <c r="A264" s="14" t="s">
        <v>538</v>
      </c>
      <c r="B264" s="14" t="s">
        <v>539</v>
      </c>
      <c r="C264" s="19">
        <v>45650.0</v>
      </c>
      <c r="D264" s="14" t="s">
        <v>11</v>
      </c>
      <c r="E264" s="14" t="s">
        <v>58</v>
      </c>
    </row>
    <row r="265">
      <c r="A265" s="14" t="s">
        <v>540</v>
      </c>
      <c r="B265" s="14" t="s">
        <v>541</v>
      </c>
      <c r="C265" s="19">
        <v>45194.0</v>
      </c>
      <c r="D265" s="14" t="s">
        <v>40</v>
      </c>
      <c r="E265" s="14" t="s">
        <v>58</v>
      </c>
    </row>
    <row r="266">
      <c r="A266" s="14" t="s">
        <v>542</v>
      </c>
      <c r="B266" s="14" t="s">
        <v>543</v>
      </c>
      <c r="C266" s="19">
        <v>45244.0</v>
      </c>
      <c r="D266" s="14" t="s">
        <v>11</v>
      </c>
      <c r="E266" s="14" t="s">
        <v>58</v>
      </c>
    </row>
    <row r="267">
      <c r="A267" s="14" t="s">
        <v>544</v>
      </c>
      <c r="B267" s="14" t="s">
        <v>545</v>
      </c>
      <c r="C267" s="19">
        <v>45727.0</v>
      </c>
      <c r="D267" s="14" t="s">
        <v>11</v>
      </c>
      <c r="E267" s="14" t="s">
        <v>12</v>
      </c>
    </row>
    <row r="268">
      <c r="A268" s="14" t="s">
        <v>544</v>
      </c>
      <c r="B268" s="14" t="s">
        <v>546</v>
      </c>
      <c r="C268" s="19">
        <v>45783.0</v>
      </c>
      <c r="D268" s="14" t="s">
        <v>40</v>
      </c>
      <c r="E268" s="14" t="s">
        <v>12</v>
      </c>
    </row>
    <row r="269">
      <c r="A269" s="14" t="s">
        <v>547</v>
      </c>
      <c r="B269" s="14" t="s">
        <v>548</v>
      </c>
      <c r="C269" s="19">
        <v>45680.0</v>
      </c>
      <c r="D269" s="14" t="s">
        <v>11</v>
      </c>
      <c r="E269" s="14" t="s">
        <v>549</v>
      </c>
    </row>
    <row r="270">
      <c r="A270" s="14" t="s">
        <v>550</v>
      </c>
      <c r="B270" s="14" t="s">
        <v>551</v>
      </c>
      <c r="C270" s="19">
        <v>45387.0</v>
      </c>
      <c r="D270" s="14" t="s">
        <v>11</v>
      </c>
      <c r="E270" s="14" t="s">
        <v>12</v>
      </c>
    </row>
    <row r="271">
      <c r="A271" s="14" t="s">
        <v>552</v>
      </c>
      <c r="B271" s="14" t="s">
        <v>553</v>
      </c>
      <c r="C271" s="19">
        <v>45624.0</v>
      </c>
      <c r="D271" s="14" t="s">
        <v>11</v>
      </c>
      <c r="E271" s="14" t="s">
        <v>91</v>
      </c>
    </row>
    <row r="272">
      <c r="A272" s="14" t="s">
        <v>554</v>
      </c>
      <c r="B272" s="14" t="s">
        <v>555</v>
      </c>
      <c r="C272" s="19">
        <v>45548.0</v>
      </c>
      <c r="D272" s="14" t="s">
        <v>11</v>
      </c>
      <c r="E272" s="14" t="s">
        <v>83</v>
      </c>
    </row>
    <row r="273">
      <c r="A273" s="14" t="s">
        <v>556</v>
      </c>
      <c r="B273" s="14" t="s">
        <v>557</v>
      </c>
      <c r="C273" s="19">
        <v>45624.0</v>
      </c>
      <c r="D273" s="14" t="s">
        <v>11</v>
      </c>
      <c r="E273" s="14" t="s">
        <v>558</v>
      </c>
    </row>
    <row r="274">
      <c r="A274" s="14" t="s">
        <v>556</v>
      </c>
      <c r="B274" s="14" t="s">
        <v>559</v>
      </c>
      <c r="C274" s="19">
        <v>45720.0</v>
      </c>
      <c r="D274" s="14" t="s">
        <v>40</v>
      </c>
      <c r="E274" s="14" t="s">
        <v>558</v>
      </c>
    </row>
    <row r="275">
      <c r="A275" s="14" t="s">
        <v>560</v>
      </c>
      <c r="B275" s="14" t="s">
        <v>561</v>
      </c>
      <c r="C275" s="19">
        <v>45294.0</v>
      </c>
      <c r="D275" s="14" t="s">
        <v>11</v>
      </c>
      <c r="E275" s="14" t="s">
        <v>562</v>
      </c>
    </row>
    <row r="276">
      <c r="A276" s="14" t="s">
        <v>563</v>
      </c>
      <c r="B276" s="14" t="s">
        <v>564</v>
      </c>
      <c r="C276" s="19">
        <v>45742.0</v>
      </c>
      <c r="D276" s="14" t="s">
        <v>11</v>
      </c>
      <c r="E276" s="14" t="s">
        <v>12</v>
      </c>
    </row>
    <row r="277">
      <c r="A277" s="14" t="s">
        <v>565</v>
      </c>
      <c r="B277" s="14" t="s">
        <v>566</v>
      </c>
      <c r="C277" s="19">
        <v>45497.0</v>
      </c>
      <c r="D277" s="14" t="s">
        <v>11</v>
      </c>
      <c r="E277" s="14" t="s">
        <v>38</v>
      </c>
    </row>
    <row r="278">
      <c r="A278" s="14" t="s">
        <v>567</v>
      </c>
      <c r="B278" s="14" t="s">
        <v>568</v>
      </c>
      <c r="C278" s="19">
        <v>45173.0</v>
      </c>
      <c r="D278" s="14" t="s">
        <v>40</v>
      </c>
      <c r="E278" s="14" t="s">
        <v>213</v>
      </c>
    </row>
    <row r="279">
      <c r="A279" s="14" t="s">
        <v>567</v>
      </c>
      <c r="B279" s="14" t="s">
        <v>569</v>
      </c>
      <c r="C279" s="19">
        <v>45226.0</v>
      </c>
      <c r="D279" s="14" t="s">
        <v>11</v>
      </c>
      <c r="E279" s="14" t="s">
        <v>213</v>
      </c>
    </row>
    <row r="280">
      <c r="A280" s="14" t="s">
        <v>570</v>
      </c>
      <c r="B280" s="14" t="s">
        <v>571</v>
      </c>
      <c r="C280" s="19">
        <v>45377.0</v>
      </c>
      <c r="D280" s="14" t="s">
        <v>11</v>
      </c>
      <c r="E280" s="14" t="s">
        <v>229</v>
      </c>
    </row>
    <row r="281">
      <c r="A281" s="14" t="s">
        <v>570</v>
      </c>
      <c r="B281" s="14" t="s">
        <v>572</v>
      </c>
      <c r="C281" s="19">
        <v>45426.0</v>
      </c>
      <c r="D281" s="14" t="s">
        <v>40</v>
      </c>
      <c r="E281" s="14" t="s">
        <v>229</v>
      </c>
    </row>
    <row r="282">
      <c r="A282" s="14" t="s">
        <v>573</v>
      </c>
      <c r="B282" s="14" t="s">
        <v>574</v>
      </c>
      <c r="C282" s="19">
        <v>44932.0</v>
      </c>
      <c r="D282" s="14" t="s">
        <v>11</v>
      </c>
      <c r="E282" s="14" t="s">
        <v>12</v>
      </c>
    </row>
    <row r="283">
      <c r="A283" s="14" t="s">
        <v>573</v>
      </c>
      <c r="B283" s="14" t="s">
        <v>575</v>
      </c>
      <c r="C283" s="19">
        <v>45166.0</v>
      </c>
      <c r="D283" s="14" t="s">
        <v>40</v>
      </c>
      <c r="E283" s="14" t="s">
        <v>12</v>
      </c>
    </row>
    <row r="284">
      <c r="A284" s="14" t="s">
        <v>576</v>
      </c>
      <c r="B284" s="14" t="s">
        <v>577</v>
      </c>
      <c r="C284" s="19">
        <v>45323.0</v>
      </c>
      <c r="D284" s="14" t="s">
        <v>11</v>
      </c>
      <c r="E284" s="14" t="s">
        <v>12</v>
      </c>
    </row>
    <row r="285">
      <c r="A285" s="14" t="s">
        <v>578</v>
      </c>
      <c r="B285" s="14" t="s">
        <v>579</v>
      </c>
      <c r="C285" s="19">
        <v>44736.0</v>
      </c>
      <c r="D285" s="14" t="s">
        <v>11</v>
      </c>
      <c r="E285" s="14" t="s">
        <v>12</v>
      </c>
    </row>
    <row r="286">
      <c r="A286" s="14" t="s">
        <v>580</v>
      </c>
      <c r="B286" s="14" t="s">
        <v>581</v>
      </c>
      <c r="C286" s="19">
        <v>45142.0</v>
      </c>
      <c r="D286" s="14" t="s">
        <v>11</v>
      </c>
      <c r="E286" s="14" t="s">
        <v>12</v>
      </c>
    </row>
    <row r="287">
      <c r="A287" s="14" t="s">
        <v>582</v>
      </c>
      <c r="B287" s="14" t="s">
        <v>583</v>
      </c>
      <c r="C287" s="19">
        <v>45418.0</v>
      </c>
      <c r="D287" s="14" t="s">
        <v>11</v>
      </c>
      <c r="E287" s="14" t="s">
        <v>12</v>
      </c>
    </row>
    <row r="288">
      <c r="A288" s="14" t="s">
        <v>584</v>
      </c>
      <c r="B288" s="14" t="s">
        <v>585</v>
      </c>
      <c r="C288" s="19">
        <v>45314.0</v>
      </c>
      <c r="D288" s="14" t="s">
        <v>11</v>
      </c>
      <c r="E288" s="14" t="s">
        <v>12</v>
      </c>
    </row>
    <row r="289">
      <c r="A289" s="14" t="s">
        <v>586</v>
      </c>
      <c r="B289" s="14" t="s">
        <v>587</v>
      </c>
      <c r="C289" s="19">
        <v>44824.0</v>
      </c>
      <c r="D289" s="14" t="s">
        <v>11</v>
      </c>
      <c r="E289" s="14" t="s">
        <v>12</v>
      </c>
    </row>
    <row r="290">
      <c r="A290" s="14" t="s">
        <v>588</v>
      </c>
      <c r="B290" s="14" t="s">
        <v>589</v>
      </c>
      <c r="C290" s="19">
        <v>45128.0</v>
      </c>
      <c r="D290" s="14" t="s">
        <v>11</v>
      </c>
      <c r="E290" s="14" t="s">
        <v>12</v>
      </c>
    </row>
    <row r="291">
      <c r="A291" s="14" t="s">
        <v>590</v>
      </c>
      <c r="B291" s="14" t="s">
        <v>591</v>
      </c>
      <c r="C291" s="19">
        <v>45699.0</v>
      </c>
      <c r="D291" s="14" t="s">
        <v>11</v>
      </c>
      <c r="E291" s="14" t="s">
        <v>12</v>
      </c>
    </row>
    <row r="292">
      <c r="A292" s="14" t="s">
        <v>590</v>
      </c>
      <c r="B292" s="14" t="s">
        <v>592</v>
      </c>
      <c r="C292" s="19">
        <v>45699.0</v>
      </c>
      <c r="D292" s="14" t="s">
        <v>40</v>
      </c>
      <c r="E292" s="14" t="s">
        <v>12</v>
      </c>
    </row>
    <row r="293">
      <c r="A293" s="14" t="s">
        <v>593</v>
      </c>
      <c r="B293" s="14" t="s">
        <v>594</v>
      </c>
      <c r="C293" s="19">
        <v>45426.0</v>
      </c>
      <c r="D293" s="14" t="s">
        <v>11</v>
      </c>
      <c r="E293" s="14" t="s">
        <v>12</v>
      </c>
    </row>
    <row r="294">
      <c r="A294" s="14" t="s">
        <v>595</v>
      </c>
      <c r="B294" s="14" t="s">
        <v>596</v>
      </c>
      <c r="C294" s="19">
        <v>45244.0</v>
      </c>
      <c r="D294" s="14" t="s">
        <v>11</v>
      </c>
      <c r="E294" s="14" t="s">
        <v>208</v>
      </c>
    </row>
    <row r="295">
      <c r="A295" s="14" t="s">
        <v>597</v>
      </c>
      <c r="B295" s="14" t="s">
        <v>598</v>
      </c>
      <c r="C295" s="19">
        <v>45436.0</v>
      </c>
      <c r="D295" s="14" t="s">
        <v>11</v>
      </c>
      <c r="E295" s="14" t="s">
        <v>192</v>
      </c>
    </row>
    <row r="296">
      <c r="A296" s="14" t="s">
        <v>599</v>
      </c>
      <c r="B296" s="14" t="s">
        <v>600</v>
      </c>
      <c r="C296" s="19">
        <v>45776.0</v>
      </c>
      <c r="D296" s="14" t="s">
        <v>40</v>
      </c>
      <c r="E296" s="14" t="s">
        <v>213</v>
      </c>
    </row>
    <row r="297">
      <c r="A297" s="14" t="s">
        <v>601</v>
      </c>
      <c r="B297" s="14" t="s">
        <v>602</v>
      </c>
      <c r="C297" s="19">
        <v>44302.0</v>
      </c>
      <c r="D297" s="14" t="s">
        <v>69</v>
      </c>
      <c r="E297" s="14" t="s">
        <v>249</v>
      </c>
    </row>
    <row r="298">
      <c r="A298" s="14" t="s">
        <v>603</v>
      </c>
      <c r="B298" s="14" t="s">
        <v>604</v>
      </c>
      <c r="C298" s="19">
        <v>45244.0</v>
      </c>
      <c r="D298" s="14" t="s">
        <v>11</v>
      </c>
      <c r="E298" s="14" t="s">
        <v>35</v>
      </c>
    </row>
    <row r="299">
      <c r="A299" s="14" t="s">
        <v>605</v>
      </c>
      <c r="B299" s="14" t="s">
        <v>606</v>
      </c>
      <c r="C299" s="19">
        <v>45158.0</v>
      </c>
      <c r="D299" s="14" t="s">
        <v>11</v>
      </c>
      <c r="E299" s="14" t="s">
        <v>78</v>
      </c>
    </row>
    <row r="300">
      <c r="A300" s="14" t="s">
        <v>607</v>
      </c>
      <c r="B300" s="14" t="s">
        <v>608</v>
      </c>
      <c r="C300" s="19">
        <v>45520.0</v>
      </c>
      <c r="D300" s="14" t="s">
        <v>11</v>
      </c>
      <c r="E300" s="14" t="s">
        <v>12</v>
      </c>
    </row>
    <row r="301">
      <c r="A301" s="14" t="s">
        <v>607</v>
      </c>
      <c r="B301" s="14" t="s">
        <v>609</v>
      </c>
      <c r="C301" s="19">
        <v>45574.0</v>
      </c>
      <c r="D301" s="14" t="s">
        <v>40</v>
      </c>
      <c r="E301" s="14" t="s">
        <v>12</v>
      </c>
    </row>
    <row r="302">
      <c r="A302" s="14" t="s">
        <v>610</v>
      </c>
      <c r="B302" s="14" t="s">
        <v>611</v>
      </c>
      <c r="C302" s="19">
        <v>44441.0</v>
      </c>
      <c r="D302" s="14" t="s">
        <v>22</v>
      </c>
      <c r="E302" s="14" t="s">
        <v>23</v>
      </c>
    </row>
    <row r="303">
      <c r="A303" s="14" t="s">
        <v>612</v>
      </c>
      <c r="B303" s="14" t="s">
        <v>613</v>
      </c>
      <c r="C303" s="19">
        <v>44441.0</v>
      </c>
      <c r="D303" s="14" t="s">
        <v>22</v>
      </c>
      <c r="E303" s="14" t="s">
        <v>23</v>
      </c>
    </row>
    <row r="304">
      <c r="A304" s="14" t="s">
        <v>614</v>
      </c>
      <c r="B304" s="14" t="s">
        <v>615</v>
      </c>
      <c r="C304" s="19">
        <v>45756.0</v>
      </c>
      <c r="D304" s="14" t="s">
        <v>11</v>
      </c>
      <c r="E304" s="14" t="s">
        <v>17</v>
      </c>
    </row>
    <row r="305">
      <c r="A305" s="14" t="s">
        <v>616</v>
      </c>
      <c r="B305" s="14" t="s">
        <v>617</v>
      </c>
      <c r="C305" s="19">
        <v>44302.0</v>
      </c>
      <c r="D305" s="14" t="s">
        <v>69</v>
      </c>
      <c r="E305" s="14" t="s">
        <v>249</v>
      </c>
    </row>
    <row r="306">
      <c r="A306" s="14" t="s">
        <v>618</v>
      </c>
      <c r="B306" s="14" t="s">
        <v>619</v>
      </c>
      <c r="C306" s="19">
        <v>45244.0</v>
      </c>
      <c r="D306" s="14" t="s">
        <v>11</v>
      </c>
      <c r="E306" s="14" t="s">
        <v>12</v>
      </c>
    </row>
    <row r="307">
      <c r="A307" s="14" t="s">
        <v>620</v>
      </c>
      <c r="B307" s="14" t="s">
        <v>621</v>
      </c>
      <c r="C307" s="19">
        <v>44824.0</v>
      </c>
      <c r="D307" s="14" t="s">
        <v>11</v>
      </c>
      <c r="E307" s="14" t="s">
        <v>12</v>
      </c>
    </row>
    <row r="308">
      <c r="A308" s="14" t="s">
        <v>622</v>
      </c>
      <c r="B308" s="14" t="s">
        <v>623</v>
      </c>
      <c r="C308" s="19">
        <v>44441.0</v>
      </c>
      <c r="D308" s="14" t="s">
        <v>22</v>
      </c>
      <c r="E308" s="14" t="s">
        <v>23</v>
      </c>
    </row>
    <row r="309">
      <c r="A309" s="14" t="s">
        <v>624</v>
      </c>
      <c r="B309" s="14" t="s">
        <v>625</v>
      </c>
      <c r="C309" s="19">
        <v>44965.0</v>
      </c>
      <c r="D309" s="14" t="s">
        <v>40</v>
      </c>
      <c r="E309" s="14" t="s">
        <v>12</v>
      </c>
    </row>
    <row r="310">
      <c r="A310" s="14" t="s">
        <v>624</v>
      </c>
      <c r="B310" s="14" t="s">
        <v>626</v>
      </c>
      <c r="C310" s="19">
        <v>45224.0</v>
      </c>
      <c r="D310" s="14" t="s">
        <v>11</v>
      </c>
      <c r="E310" s="14" t="s">
        <v>12</v>
      </c>
    </row>
    <row r="311">
      <c r="A311" s="14" t="s">
        <v>627</v>
      </c>
      <c r="B311" s="14" t="s">
        <v>628</v>
      </c>
      <c r="C311" s="19">
        <v>44725.0</v>
      </c>
      <c r="D311" s="14" t="s">
        <v>11</v>
      </c>
      <c r="E311" s="14" t="s">
        <v>12</v>
      </c>
    </row>
    <row r="312">
      <c r="A312" s="14" t="s">
        <v>629</v>
      </c>
      <c r="B312" s="14" t="s">
        <v>630</v>
      </c>
      <c r="C312" s="19">
        <v>45170.0</v>
      </c>
      <c r="D312" s="14" t="s">
        <v>11</v>
      </c>
      <c r="E312" s="14" t="s">
        <v>12</v>
      </c>
    </row>
    <row r="313">
      <c r="A313" s="14" t="s">
        <v>631</v>
      </c>
      <c r="B313" s="14" t="s">
        <v>632</v>
      </c>
      <c r="C313" s="19">
        <v>45450.0</v>
      </c>
      <c r="D313" s="14" t="s">
        <v>11</v>
      </c>
      <c r="E313" s="14" t="s">
        <v>12</v>
      </c>
    </row>
    <row r="314">
      <c r="A314" s="14" t="s">
        <v>633</v>
      </c>
      <c r="B314" s="14" t="s">
        <v>634</v>
      </c>
      <c r="C314" s="19">
        <v>45574.0</v>
      </c>
      <c r="D314" s="14" t="s">
        <v>11</v>
      </c>
      <c r="E314" s="14" t="s">
        <v>12</v>
      </c>
    </row>
    <row r="315">
      <c r="A315" s="14" t="s">
        <v>635</v>
      </c>
      <c r="B315" s="14" t="s">
        <v>636</v>
      </c>
      <c r="C315" s="19">
        <v>44932.0</v>
      </c>
      <c r="D315" s="14" t="s">
        <v>11</v>
      </c>
      <c r="E315" s="14" t="s">
        <v>12</v>
      </c>
    </row>
    <row r="316">
      <c r="A316" s="14" t="s">
        <v>637</v>
      </c>
      <c r="B316" s="14" t="s">
        <v>638</v>
      </c>
      <c r="C316" s="19">
        <v>44725.0</v>
      </c>
      <c r="D316" s="14" t="s">
        <v>11</v>
      </c>
      <c r="E316" s="14" t="s">
        <v>12</v>
      </c>
    </row>
    <row r="317">
      <c r="A317" s="14" t="s">
        <v>639</v>
      </c>
      <c r="B317" s="14" t="s">
        <v>640</v>
      </c>
      <c r="C317" s="19">
        <v>44956.0</v>
      </c>
      <c r="D317" s="14" t="s">
        <v>11</v>
      </c>
    </row>
    <row r="318">
      <c r="A318" s="14" t="s">
        <v>641</v>
      </c>
      <c r="B318" s="14" t="s">
        <v>642</v>
      </c>
      <c r="C318" s="19">
        <v>45790.0</v>
      </c>
      <c r="D318" s="14" t="s">
        <v>11</v>
      </c>
      <c r="E318" s="14" t="s">
        <v>12</v>
      </c>
    </row>
    <row r="319">
      <c r="A319" s="14" t="s">
        <v>643</v>
      </c>
      <c r="B319" s="14" t="s">
        <v>644</v>
      </c>
      <c r="C319" s="19">
        <v>44831.0</v>
      </c>
      <c r="D319" s="14" t="s">
        <v>11</v>
      </c>
      <c r="E319" s="14" t="s">
        <v>12</v>
      </c>
    </row>
    <row r="320">
      <c r="A320" s="14" t="s">
        <v>645</v>
      </c>
      <c r="B320" s="14" t="s">
        <v>646</v>
      </c>
      <c r="C320" s="19">
        <v>44965.0</v>
      </c>
      <c r="D320" s="14" t="s">
        <v>40</v>
      </c>
      <c r="E320" s="14" t="s">
        <v>12</v>
      </c>
    </row>
    <row r="321">
      <c r="A321" s="14" t="s">
        <v>645</v>
      </c>
      <c r="B321" s="14" t="s">
        <v>647</v>
      </c>
      <c r="C321" s="19">
        <v>45224.0</v>
      </c>
      <c r="D321" s="14" t="s">
        <v>11</v>
      </c>
      <c r="E321" s="14" t="s">
        <v>12</v>
      </c>
    </row>
    <row r="322">
      <c r="A322" s="14" t="s">
        <v>648</v>
      </c>
      <c r="B322" s="14" t="s">
        <v>649</v>
      </c>
      <c r="C322" s="19">
        <v>44441.0</v>
      </c>
      <c r="D322" s="14" t="s">
        <v>22</v>
      </c>
      <c r="E322" s="14" t="s">
        <v>23</v>
      </c>
    </row>
    <row r="323">
      <c r="A323" s="14" t="s">
        <v>650</v>
      </c>
      <c r="B323" s="14" t="s">
        <v>651</v>
      </c>
      <c r="C323" s="19">
        <v>45534.0</v>
      </c>
      <c r="D323" s="14" t="s">
        <v>11</v>
      </c>
      <c r="E323" s="14" t="s">
        <v>12</v>
      </c>
    </row>
    <row r="324">
      <c r="A324" s="14" t="s">
        <v>650</v>
      </c>
      <c r="B324" s="14" t="s">
        <v>652</v>
      </c>
      <c r="C324" s="19">
        <v>45534.0</v>
      </c>
      <c r="D324" s="14" t="s">
        <v>40</v>
      </c>
      <c r="E324" s="14" t="s">
        <v>12</v>
      </c>
    </row>
    <row r="325">
      <c r="A325" s="14" t="s">
        <v>653</v>
      </c>
      <c r="B325" s="14" t="s">
        <v>654</v>
      </c>
      <c r="C325" s="19">
        <v>45103.0</v>
      </c>
      <c r="D325" s="14" t="s">
        <v>11</v>
      </c>
      <c r="E325" s="14" t="s">
        <v>655</v>
      </c>
    </row>
    <row r="326">
      <c r="A326" s="14" t="s">
        <v>656</v>
      </c>
      <c r="B326" s="14" t="s">
        <v>657</v>
      </c>
      <c r="C326" s="19">
        <v>44904.0</v>
      </c>
      <c r="D326" s="14" t="s">
        <v>11</v>
      </c>
      <c r="E326" s="14" t="s">
        <v>12</v>
      </c>
    </row>
    <row r="327">
      <c r="A327" s="14" t="s">
        <v>658</v>
      </c>
      <c r="B327" s="14" t="s">
        <v>659</v>
      </c>
      <c r="C327" s="19">
        <v>45022.0</v>
      </c>
      <c r="D327" s="14" t="s">
        <v>11</v>
      </c>
    </row>
    <row r="328">
      <c r="A328" s="14" t="s">
        <v>660</v>
      </c>
      <c r="B328" s="14" t="s">
        <v>661</v>
      </c>
      <c r="C328" s="19">
        <v>45131.0</v>
      </c>
      <c r="D328" s="14" t="s">
        <v>11</v>
      </c>
    </row>
    <row r="329">
      <c r="A329" s="14" t="s">
        <v>662</v>
      </c>
      <c r="B329" s="14" t="s">
        <v>663</v>
      </c>
      <c r="C329" s="19">
        <v>44831.0</v>
      </c>
      <c r="D329" s="14" t="s">
        <v>11</v>
      </c>
      <c r="E329" s="14" t="s">
        <v>12</v>
      </c>
    </row>
    <row r="330">
      <c r="A330" s="14" t="s">
        <v>664</v>
      </c>
      <c r="B330" s="14" t="s">
        <v>665</v>
      </c>
      <c r="C330" s="19">
        <v>45085.0</v>
      </c>
      <c r="D330" s="14" t="s">
        <v>11</v>
      </c>
      <c r="E330" s="14" t="s">
        <v>12</v>
      </c>
    </row>
    <row r="331">
      <c r="A331" s="14" t="s">
        <v>664</v>
      </c>
      <c r="B331" s="14" t="s">
        <v>666</v>
      </c>
      <c r="C331" s="19">
        <v>45169.0</v>
      </c>
      <c r="D331" s="14" t="s">
        <v>40</v>
      </c>
      <c r="E331" s="14" t="s">
        <v>12</v>
      </c>
    </row>
    <row r="332">
      <c r="A332" s="14" t="s">
        <v>667</v>
      </c>
      <c r="B332" s="14" t="s">
        <v>668</v>
      </c>
      <c r="C332" s="19">
        <v>45747.0</v>
      </c>
      <c r="D332" s="14" t="s">
        <v>11</v>
      </c>
      <c r="E332" s="14" t="s">
        <v>12</v>
      </c>
    </row>
    <row r="333">
      <c r="A333" s="14" t="s">
        <v>669</v>
      </c>
      <c r="B333" s="14" t="s">
        <v>670</v>
      </c>
      <c r="C333" s="19">
        <v>45769.0</v>
      </c>
      <c r="D333" s="14" t="s">
        <v>11</v>
      </c>
      <c r="E333" s="14" t="s">
        <v>12</v>
      </c>
    </row>
    <row r="334">
      <c r="A334" s="14" t="s">
        <v>671</v>
      </c>
      <c r="B334" s="14" t="s">
        <v>672</v>
      </c>
      <c r="C334" s="19">
        <v>44302.0</v>
      </c>
      <c r="D334" s="14" t="s">
        <v>69</v>
      </c>
      <c r="E334" s="14" t="s">
        <v>249</v>
      </c>
    </row>
    <row r="335">
      <c r="A335" s="14" t="s">
        <v>673</v>
      </c>
      <c r="B335" s="14" t="s">
        <v>674</v>
      </c>
      <c r="C335" s="19">
        <v>44566.0</v>
      </c>
      <c r="D335" s="14" t="s">
        <v>69</v>
      </c>
      <c r="E335" s="14" t="s">
        <v>12</v>
      </c>
    </row>
    <row r="336">
      <c r="A336" s="14" t="s">
        <v>675</v>
      </c>
      <c r="B336" s="14" t="s">
        <v>676</v>
      </c>
      <c r="C336" s="19">
        <v>45778.0</v>
      </c>
      <c r="D336" s="14" t="s">
        <v>40</v>
      </c>
      <c r="E336" s="14" t="s">
        <v>12</v>
      </c>
    </row>
    <row r="337">
      <c r="A337" s="14" t="s">
        <v>677</v>
      </c>
      <c r="B337" s="14" t="s">
        <v>678</v>
      </c>
      <c r="C337" s="19">
        <v>45043.0</v>
      </c>
      <c r="D337" s="14" t="s">
        <v>11</v>
      </c>
      <c r="E337" s="14" t="s">
        <v>12</v>
      </c>
    </row>
    <row r="338">
      <c r="A338" s="14" t="s">
        <v>679</v>
      </c>
      <c r="B338" s="14" t="s">
        <v>680</v>
      </c>
      <c r="C338" s="19">
        <v>45699.0</v>
      </c>
      <c r="D338" s="14" t="s">
        <v>11</v>
      </c>
      <c r="E338" s="14" t="s">
        <v>12</v>
      </c>
    </row>
    <row r="339">
      <c r="A339" s="14" t="s">
        <v>681</v>
      </c>
      <c r="B339" s="14" t="s">
        <v>682</v>
      </c>
      <c r="C339" s="19">
        <v>44965.0</v>
      </c>
      <c r="D339" s="14" t="s">
        <v>40</v>
      </c>
      <c r="E339" s="14" t="s">
        <v>12</v>
      </c>
    </row>
    <row r="340">
      <c r="A340" s="14" t="s">
        <v>681</v>
      </c>
      <c r="B340" s="14" t="s">
        <v>683</v>
      </c>
      <c r="C340" s="19">
        <v>45224.0</v>
      </c>
      <c r="D340" s="14" t="s">
        <v>11</v>
      </c>
      <c r="E340" s="14" t="s">
        <v>12</v>
      </c>
    </row>
    <row r="341">
      <c r="A341" s="14" t="s">
        <v>684</v>
      </c>
      <c r="B341" s="14" t="s">
        <v>685</v>
      </c>
      <c r="C341" s="19">
        <v>45749.0</v>
      </c>
      <c r="D341" s="14" t="s">
        <v>11</v>
      </c>
      <c r="E341" s="14" t="s">
        <v>12</v>
      </c>
    </row>
    <row r="342">
      <c r="A342" s="14" t="s">
        <v>686</v>
      </c>
      <c r="B342" s="14" t="s">
        <v>687</v>
      </c>
      <c r="C342" s="19">
        <v>44831.0</v>
      </c>
      <c r="D342" s="14" t="s">
        <v>11</v>
      </c>
      <c r="E342" s="14" t="s">
        <v>12</v>
      </c>
    </row>
    <row r="343">
      <c r="A343" s="14" t="s">
        <v>688</v>
      </c>
      <c r="B343" s="14" t="s">
        <v>689</v>
      </c>
      <c r="C343" s="19">
        <v>44824.0</v>
      </c>
      <c r="D343" s="14" t="s">
        <v>11</v>
      </c>
      <c r="E343" s="14" t="s">
        <v>12</v>
      </c>
    </row>
    <row r="344">
      <c r="A344" s="14" t="s">
        <v>690</v>
      </c>
      <c r="B344" s="14" t="s">
        <v>691</v>
      </c>
      <c r="C344" s="19">
        <v>45142.0</v>
      </c>
      <c r="D344" s="14" t="s">
        <v>11</v>
      </c>
    </row>
    <row r="345">
      <c r="A345" s="14" t="s">
        <v>692</v>
      </c>
      <c r="B345" s="14" t="s">
        <v>693</v>
      </c>
      <c r="C345" s="19">
        <v>45727.0</v>
      </c>
      <c r="D345" s="14" t="s">
        <v>11</v>
      </c>
      <c r="E345" s="14" t="s">
        <v>12</v>
      </c>
    </row>
    <row r="346">
      <c r="A346" s="14" t="s">
        <v>694</v>
      </c>
      <c r="B346" s="14" t="s">
        <v>695</v>
      </c>
      <c r="C346" s="19">
        <v>44824.0</v>
      </c>
      <c r="D346" s="14" t="s">
        <v>11</v>
      </c>
      <c r="E346" s="14" t="s">
        <v>12</v>
      </c>
    </row>
    <row r="347">
      <c r="A347" s="14" t="s">
        <v>696</v>
      </c>
      <c r="B347" s="14" t="s">
        <v>697</v>
      </c>
      <c r="C347" s="19">
        <v>45574.0</v>
      </c>
      <c r="D347" s="14" t="s">
        <v>11</v>
      </c>
      <c r="E347" s="14" t="s">
        <v>12</v>
      </c>
    </row>
    <row r="348">
      <c r="A348" s="14" t="s">
        <v>698</v>
      </c>
      <c r="B348" s="14" t="s">
        <v>699</v>
      </c>
      <c r="C348" s="19">
        <v>45158.0</v>
      </c>
      <c r="D348" s="14" t="s">
        <v>11</v>
      </c>
      <c r="E348" s="14" t="s">
        <v>139</v>
      </c>
    </row>
    <row r="349">
      <c r="A349" s="14" t="s">
        <v>700</v>
      </c>
      <c r="B349" s="14" t="s">
        <v>701</v>
      </c>
      <c r="C349" s="19">
        <v>45778.0</v>
      </c>
      <c r="D349" s="14" t="s">
        <v>11</v>
      </c>
      <c r="E349" s="14" t="s">
        <v>192</v>
      </c>
    </row>
    <row r="350">
      <c r="A350" s="14" t="s">
        <v>700</v>
      </c>
      <c r="B350" s="14" t="s">
        <v>702</v>
      </c>
      <c r="C350" s="19">
        <v>45778.0</v>
      </c>
      <c r="D350" s="14" t="s">
        <v>40</v>
      </c>
      <c r="E350" s="14" t="s">
        <v>192</v>
      </c>
    </row>
    <row r="351">
      <c r="A351" s="14" t="s">
        <v>703</v>
      </c>
      <c r="B351" s="14" t="s">
        <v>704</v>
      </c>
      <c r="C351" s="19">
        <v>44566.0</v>
      </c>
      <c r="D351" s="14" t="s">
        <v>11</v>
      </c>
      <c r="E351" s="14" t="s">
        <v>509</v>
      </c>
    </row>
    <row r="352">
      <c r="A352" s="14" t="s">
        <v>703</v>
      </c>
      <c r="B352" s="14" t="s">
        <v>705</v>
      </c>
      <c r="C352" s="19">
        <v>44648.0</v>
      </c>
      <c r="D352" s="14" t="s">
        <v>40</v>
      </c>
      <c r="E352" s="14" t="s">
        <v>509</v>
      </c>
    </row>
    <row r="353">
      <c r="A353" s="14" t="s">
        <v>706</v>
      </c>
      <c r="B353" s="14" t="s">
        <v>707</v>
      </c>
      <c r="C353" s="19">
        <v>45337.0</v>
      </c>
      <c r="D353" s="14" t="s">
        <v>11</v>
      </c>
      <c r="E353" s="14" t="s">
        <v>38</v>
      </c>
    </row>
    <row r="354">
      <c r="A354" s="14" t="s">
        <v>708</v>
      </c>
      <c r="B354" s="14" t="s">
        <v>709</v>
      </c>
      <c r="C354" s="19">
        <v>45534.0</v>
      </c>
      <c r="D354" s="14" t="s">
        <v>11</v>
      </c>
      <c r="E354" s="14" t="s">
        <v>12</v>
      </c>
    </row>
    <row r="355">
      <c r="A355" s="14" t="s">
        <v>710</v>
      </c>
      <c r="B355" s="14" t="s">
        <v>711</v>
      </c>
      <c r="C355" s="19">
        <v>45485.0</v>
      </c>
      <c r="D355" s="14" t="s">
        <v>11</v>
      </c>
      <c r="E355" s="14" t="s">
        <v>192</v>
      </c>
    </row>
    <row r="356">
      <c r="A356" s="14" t="s">
        <v>712</v>
      </c>
      <c r="B356" s="14" t="s">
        <v>713</v>
      </c>
      <c r="C356" s="19">
        <v>44596.0</v>
      </c>
      <c r="D356" s="14" t="s">
        <v>11</v>
      </c>
      <c r="E356" s="14" t="s">
        <v>12</v>
      </c>
    </row>
    <row r="357">
      <c r="A357" s="14" t="s">
        <v>714</v>
      </c>
      <c r="B357" s="14" t="s">
        <v>715</v>
      </c>
      <c r="C357" s="19"/>
      <c r="D357" s="14" t="s">
        <v>40</v>
      </c>
      <c r="E357" s="14" t="s">
        <v>202</v>
      </c>
    </row>
    <row r="358">
      <c r="A358" s="14" t="s">
        <v>716</v>
      </c>
      <c r="B358" s="14" t="s">
        <v>717</v>
      </c>
      <c r="C358" s="19">
        <v>45497.0</v>
      </c>
      <c r="D358" s="14" t="s">
        <v>11</v>
      </c>
      <c r="E358" s="14" t="s">
        <v>202</v>
      </c>
    </row>
    <row r="359">
      <c r="A359" s="14" t="s">
        <v>716</v>
      </c>
      <c r="B359" s="14" t="s">
        <v>718</v>
      </c>
      <c r="C359" s="19">
        <v>45497.0</v>
      </c>
      <c r="D359" s="14" t="s">
        <v>40</v>
      </c>
      <c r="E359" s="14" t="s">
        <v>202</v>
      </c>
    </row>
    <row r="360">
      <c r="A360" s="14" t="s">
        <v>719</v>
      </c>
      <c r="B360" s="14" t="s">
        <v>720</v>
      </c>
      <c r="C360" s="19">
        <v>44441.0</v>
      </c>
      <c r="D360" s="14" t="s">
        <v>22</v>
      </c>
      <c r="E360" s="14" t="s">
        <v>23</v>
      </c>
    </row>
    <row r="361">
      <c r="A361" s="14" t="s">
        <v>721</v>
      </c>
      <c r="B361" s="14" t="s">
        <v>722</v>
      </c>
      <c r="C361" s="19">
        <v>45294.0</v>
      </c>
      <c r="D361" s="14" t="s">
        <v>11</v>
      </c>
      <c r="E361" s="14" t="s">
        <v>202</v>
      </c>
    </row>
    <row r="362">
      <c r="A362" s="14" t="s">
        <v>723</v>
      </c>
      <c r="B362" s="14" t="s">
        <v>724</v>
      </c>
      <c r="C362" s="19">
        <v>45755.0</v>
      </c>
      <c r="D362" s="14" t="s">
        <v>40</v>
      </c>
      <c r="E362" s="14" t="s">
        <v>58</v>
      </c>
    </row>
    <row r="363">
      <c r="A363" s="14" t="s">
        <v>723</v>
      </c>
      <c r="B363" s="14" t="s">
        <v>725</v>
      </c>
      <c r="C363" s="19">
        <v>45778.0</v>
      </c>
      <c r="D363" s="14" t="s">
        <v>11</v>
      </c>
      <c r="E363" s="14" t="s">
        <v>58</v>
      </c>
    </row>
    <row r="364">
      <c r="A364" s="14" t="s">
        <v>726</v>
      </c>
      <c r="B364" s="14" t="s">
        <v>727</v>
      </c>
      <c r="C364" s="19">
        <v>45244.0</v>
      </c>
      <c r="D364" s="14" t="s">
        <v>11</v>
      </c>
      <c r="E364" s="14" t="s">
        <v>38</v>
      </c>
    </row>
    <row r="365">
      <c r="A365" s="14" t="s">
        <v>728</v>
      </c>
      <c r="B365" s="14" t="s">
        <v>729</v>
      </c>
      <c r="C365" s="19">
        <v>45158.0</v>
      </c>
      <c r="D365" s="14" t="s">
        <v>11</v>
      </c>
    </row>
    <row r="366">
      <c r="A366" s="14" t="s">
        <v>730</v>
      </c>
      <c r="B366" s="14" t="s">
        <v>731</v>
      </c>
      <c r="C366" s="19">
        <v>44441.0</v>
      </c>
      <c r="D366" s="14" t="s">
        <v>22</v>
      </c>
      <c r="E366" s="14" t="s">
        <v>23</v>
      </c>
    </row>
    <row r="367">
      <c r="A367" s="14" t="s">
        <v>732</v>
      </c>
      <c r="B367" s="14" t="s">
        <v>733</v>
      </c>
      <c r="C367" s="19">
        <v>44302.0</v>
      </c>
      <c r="D367" s="14" t="s">
        <v>69</v>
      </c>
      <c r="E367" s="14" t="s">
        <v>249</v>
      </c>
    </row>
    <row r="368">
      <c r="A368" s="14" t="s">
        <v>734</v>
      </c>
      <c r="B368" s="14" t="s">
        <v>735</v>
      </c>
      <c r="C368" s="19">
        <v>44831.0</v>
      </c>
      <c r="D368" s="14" t="s">
        <v>11</v>
      </c>
      <c r="E368" s="14" t="s">
        <v>12</v>
      </c>
    </row>
    <row r="369">
      <c r="A369" s="14" t="s">
        <v>736</v>
      </c>
      <c r="B369" s="14" t="s">
        <v>737</v>
      </c>
      <c r="C369" s="19">
        <v>44566.0</v>
      </c>
      <c r="D369" s="14" t="s">
        <v>69</v>
      </c>
      <c r="E369" s="14" t="s">
        <v>269</v>
      </c>
    </row>
    <row r="370">
      <c r="A370" s="14" t="s">
        <v>738</v>
      </c>
      <c r="B370" s="14" t="s">
        <v>739</v>
      </c>
      <c r="C370" s="19">
        <v>45246.0</v>
      </c>
      <c r="D370" s="14" t="s">
        <v>11</v>
      </c>
      <c r="E370" s="14" t="s">
        <v>12</v>
      </c>
    </row>
    <row r="371">
      <c r="A371" s="14" t="s">
        <v>740</v>
      </c>
      <c r="B371" s="14" t="s">
        <v>741</v>
      </c>
      <c r="C371" s="19">
        <v>45680.0</v>
      </c>
      <c r="D371" s="14" t="s">
        <v>11</v>
      </c>
      <c r="E371" s="14" t="s">
        <v>12</v>
      </c>
    </row>
    <row r="372">
      <c r="A372" s="14" t="s">
        <v>742</v>
      </c>
      <c r="B372" s="14" t="s">
        <v>743</v>
      </c>
      <c r="C372" s="19">
        <v>45158.0</v>
      </c>
      <c r="D372" s="14" t="s">
        <v>11</v>
      </c>
      <c r="E372" s="14" t="s">
        <v>744</v>
      </c>
    </row>
    <row r="373">
      <c r="A373" s="14" t="s">
        <v>745</v>
      </c>
      <c r="B373" s="14" t="s">
        <v>746</v>
      </c>
      <c r="C373" s="19">
        <v>45769.0</v>
      </c>
      <c r="D373" s="14" t="s">
        <v>11</v>
      </c>
      <c r="E373" s="14" t="s">
        <v>58</v>
      </c>
    </row>
    <row r="374">
      <c r="A374" s="14" t="s">
        <v>747</v>
      </c>
      <c r="B374" s="14" t="s">
        <v>748</v>
      </c>
      <c r="C374" s="19">
        <v>45296.0</v>
      </c>
      <c r="D374" s="14" t="s">
        <v>11</v>
      </c>
      <c r="E374" s="14" t="s">
        <v>100</v>
      </c>
    </row>
    <row r="375">
      <c r="A375" s="14" t="s">
        <v>749</v>
      </c>
      <c r="B375" s="14" t="s">
        <v>750</v>
      </c>
      <c r="C375" s="19"/>
      <c r="D375" s="14" t="s">
        <v>40</v>
      </c>
      <c r="E375" s="14" t="s">
        <v>213</v>
      </c>
    </row>
    <row r="376">
      <c r="A376" s="14" t="s">
        <v>751</v>
      </c>
      <c r="B376" s="14" t="s">
        <v>752</v>
      </c>
      <c r="C376" s="19">
        <v>45548.0</v>
      </c>
      <c r="D376" s="14" t="s">
        <v>11</v>
      </c>
      <c r="E376" s="14" t="s">
        <v>83</v>
      </c>
    </row>
    <row r="377">
      <c r="A377" s="14" t="s">
        <v>753</v>
      </c>
      <c r="B377" s="14" t="s">
        <v>754</v>
      </c>
      <c r="C377" s="19">
        <v>45720.0</v>
      </c>
      <c r="D377" s="14" t="s">
        <v>11</v>
      </c>
      <c r="E377" s="14" t="s">
        <v>12</v>
      </c>
    </row>
    <row r="378">
      <c r="A378" s="14" t="s">
        <v>755</v>
      </c>
      <c r="B378" s="14" t="s">
        <v>756</v>
      </c>
      <c r="C378" s="19">
        <v>45300.0</v>
      </c>
      <c r="D378" s="14" t="s">
        <v>11</v>
      </c>
      <c r="E378" s="14" t="s">
        <v>12</v>
      </c>
    </row>
    <row r="379">
      <c r="A379" s="14" t="s">
        <v>757</v>
      </c>
      <c r="B379" s="14" t="s">
        <v>758</v>
      </c>
      <c r="C379" s="19">
        <v>44302.0</v>
      </c>
      <c r="D379" s="14" t="s">
        <v>69</v>
      </c>
      <c r="E379" s="14" t="s">
        <v>249</v>
      </c>
    </row>
    <row r="380">
      <c r="A380" s="14" t="s">
        <v>759</v>
      </c>
      <c r="B380" s="14" t="s">
        <v>760</v>
      </c>
      <c r="C380" s="19">
        <v>45798.0</v>
      </c>
      <c r="D380" s="14" t="s">
        <v>11</v>
      </c>
      <c r="E380" s="14" t="s">
        <v>12</v>
      </c>
    </row>
    <row r="381">
      <c r="A381" s="14" t="s">
        <v>761</v>
      </c>
      <c r="B381" s="14" t="s">
        <v>762</v>
      </c>
      <c r="C381" s="19">
        <v>45798.0</v>
      </c>
      <c r="D381" s="14" t="s">
        <v>40</v>
      </c>
      <c r="E381" s="14" t="s">
        <v>213</v>
      </c>
    </row>
    <row r="382">
      <c r="A382" s="14" t="s">
        <v>763</v>
      </c>
      <c r="B382" s="14" t="s">
        <v>764</v>
      </c>
      <c r="C382" s="19">
        <v>45497.0</v>
      </c>
      <c r="D382" s="14" t="s">
        <v>11</v>
      </c>
      <c r="E382" s="14" t="s">
        <v>12</v>
      </c>
    </row>
    <row r="383">
      <c r="A383" s="14" t="s">
        <v>763</v>
      </c>
      <c r="B383" s="14" t="s">
        <v>765</v>
      </c>
      <c r="C383" s="19">
        <v>45520.0</v>
      </c>
      <c r="D383" s="14" t="s">
        <v>40</v>
      </c>
      <c r="E383" s="14" t="s">
        <v>12</v>
      </c>
    </row>
    <row r="384">
      <c r="A384" s="14" t="s">
        <v>766</v>
      </c>
      <c r="B384" s="14" t="s">
        <v>767</v>
      </c>
      <c r="C384" s="19">
        <v>45749.0</v>
      </c>
      <c r="D384" s="14" t="s">
        <v>11</v>
      </c>
      <c r="E384" s="14" t="s">
        <v>549</v>
      </c>
    </row>
    <row r="385">
      <c r="A385" s="14" t="s">
        <v>768</v>
      </c>
      <c r="B385" s="14" t="s">
        <v>769</v>
      </c>
      <c r="C385" s="19">
        <v>44874.0</v>
      </c>
      <c r="D385" s="14" t="s">
        <v>11</v>
      </c>
      <c r="E385" s="14" t="s">
        <v>12</v>
      </c>
    </row>
    <row r="386">
      <c r="A386" s="14" t="s">
        <v>770</v>
      </c>
      <c r="B386" s="14" t="s">
        <v>771</v>
      </c>
      <c r="C386" s="19">
        <v>44302.0</v>
      </c>
      <c r="D386" s="14" t="s">
        <v>69</v>
      </c>
      <c r="E386" s="14" t="s">
        <v>249</v>
      </c>
    </row>
    <row r="387">
      <c r="A387" s="14" t="s">
        <v>772</v>
      </c>
      <c r="B387" s="14" t="s">
        <v>773</v>
      </c>
      <c r="C387" s="19">
        <v>45721.0</v>
      </c>
      <c r="D387" s="14" t="s">
        <v>11</v>
      </c>
      <c r="E387" s="14" t="s">
        <v>12</v>
      </c>
    </row>
    <row r="388">
      <c r="A388" s="14" t="s">
        <v>774</v>
      </c>
      <c r="B388" s="14" t="s">
        <v>775</v>
      </c>
      <c r="C388" s="19">
        <v>45158.0</v>
      </c>
      <c r="D388" s="14" t="s">
        <v>11</v>
      </c>
      <c r="E388" s="14" t="s">
        <v>78</v>
      </c>
    </row>
    <row r="389">
      <c r="A389" s="14" t="s">
        <v>776</v>
      </c>
      <c r="B389" s="14" t="s">
        <v>777</v>
      </c>
      <c r="C389" s="19">
        <v>45574.0</v>
      </c>
      <c r="D389" s="14" t="s">
        <v>40</v>
      </c>
      <c r="E389" s="14" t="s">
        <v>12</v>
      </c>
    </row>
    <row r="390">
      <c r="A390" s="14" t="s">
        <v>776</v>
      </c>
      <c r="B390" s="14" t="s">
        <v>778</v>
      </c>
      <c r="C390" s="19">
        <v>45595.0</v>
      </c>
      <c r="D390" s="14" t="s">
        <v>11</v>
      </c>
      <c r="E390" s="14" t="s">
        <v>12</v>
      </c>
    </row>
    <row r="391">
      <c r="A391" s="14" t="s">
        <v>779</v>
      </c>
      <c r="B391" s="14" t="s">
        <v>780</v>
      </c>
      <c r="C391" s="19">
        <v>44302.0</v>
      </c>
      <c r="D391" s="14" t="s">
        <v>69</v>
      </c>
      <c r="E391" s="14" t="s">
        <v>249</v>
      </c>
    </row>
    <row r="392">
      <c r="A392" s="14" t="s">
        <v>781</v>
      </c>
      <c r="B392" s="14" t="s">
        <v>782</v>
      </c>
      <c r="C392" s="19">
        <v>45707.0</v>
      </c>
      <c r="D392" s="14" t="s">
        <v>40</v>
      </c>
      <c r="E392" s="14" t="s">
        <v>61</v>
      </c>
    </row>
    <row r="393">
      <c r="A393" s="14" t="s">
        <v>781</v>
      </c>
      <c r="B393" s="14" t="s">
        <v>783</v>
      </c>
      <c r="C393" s="19">
        <v>45713.0</v>
      </c>
      <c r="D393" s="14" t="s">
        <v>11</v>
      </c>
      <c r="E393" s="14" t="s">
        <v>61</v>
      </c>
    </row>
    <row r="394">
      <c r="A394" s="14" t="s">
        <v>784</v>
      </c>
      <c r="B394" s="14" t="s">
        <v>785</v>
      </c>
      <c r="C394" s="19">
        <v>45131.0</v>
      </c>
      <c r="D394" s="14" t="s">
        <v>69</v>
      </c>
      <c r="E394" s="14" t="s">
        <v>202</v>
      </c>
    </row>
    <row r="395">
      <c r="A395" s="14" t="s">
        <v>786</v>
      </c>
      <c r="B395" s="14" t="s">
        <v>787</v>
      </c>
      <c r="C395" s="19">
        <v>45450.0</v>
      </c>
      <c r="D395" s="14" t="s">
        <v>11</v>
      </c>
      <c r="E395" s="14" t="s">
        <v>788</v>
      </c>
    </row>
    <row r="396">
      <c r="A396" s="14" t="s">
        <v>786</v>
      </c>
      <c r="B396" s="14" t="s">
        <v>789</v>
      </c>
      <c r="C396" s="19">
        <v>45450.0</v>
      </c>
      <c r="D396" s="14" t="s">
        <v>40</v>
      </c>
      <c r="E396" s="14" t="s">
        <v>788</v>
      </c>
    </row>
    <row r="397">
      <c r="A397" s="14" t="s">
        <v>790</v>
      </c>
      <c r="B397" s="14" t="s">
        <v>791</v>
      </c>
      <c r="C397" s="19">
        <v>44725.0</v>
      </c>
      <c r="D397" s="14" t="s">
        <v>11</v>
      </c>
      <c r="E397" s="14" t="s">
        <v>12</v>
      </c>
    </row>
    <row r="398">
      <c r="A398" s="14" t="s">
        <v>792</v>
      </c>
      <c r="B398" s="14" t="s">
        <v>793</v>
      </c>
      <c r="C398" s="19">
        <v>45735.0</v>
      </c>
      <c r="D398" s="14" t="s">
        <v>11</v>
      </c>
      <c r="E398" s="14" t="s">
        <v>58</v>
      </c>
    </row>
    <row r="399">
      <c r="A399" s="14" t="s">
        <v>794</v>
      </c>
      <c r="B399" s="14" t="s">
        <v>795</v>
      </c>
      <c r="C399" s="19">
        <v>45497.0</v>
      </c>
      <c r="D399" s="14" t="s">
        <v>11</v>
      </c>
      <c r="E399" s="14" t="s">
        <v>12</v>
      </c>
    </row>
    <row r="400">
      <c r="A400" s="14" t="s">
        <v>796</v>
      </c>
      <c r="B400" s="14" t="s">
        <v>797</v>
      </c>
      <c r="C400" s="19">
        <v>44932.0</v>
      </c>
      <c r="D400" s="14" t="s">
        <v>11</v>
      </c>
      <c r="E400" s="14" t="s">
        <v>12</v>
      </c>
    </row>
    <row r="401">
      <c r="A401" s="14" t="s">
        <v>798</v>
      </c>
      <c r="B401" s="14" t="s">
        <v>799</v>
      </c>
      <c r="C401" s="19">
        <v>44566.0</v>
      </c>
      <c r="D401" s="14" t="s">
        <v>69</v>
      </c>
      <c r="E401" s="14" t="s">
        <v>12</v>
      </c>
    </row>
    <row r="402">
      <c r="A402" s="14" t="s">
        <v>800</v>
      </c>
      <c r="B402" s="14" t="s">
        <v>801</v>
      </c>
      <c r="C402" s="19">
        <v>45294.0</v>
      </c>
      <c r="D402" s="14" t="s">
        <v>11</v>
      </c>
      <c r="E402" s="14" t="s">
        <v>12</v>
      </c>
    </row>
    <row r="403">
      <c r="A403" s="14" t="s">
        <v>802</v>
      </c>
      <c r="B403" s="14" t="s">
        <v>803</v>
      </c>
      <c r="C403" s="19">
        <v>44905.0</v>
      </c>
      <c r="D403" s="14" t="s">
        <v>11</v>
      </c>
      <c r="E403" s="14" t="s">
        <v>12</v>
      </c>
    </row>
    <row r="404">
      <c r="A404" s="14" t="s">
        <v>802</v>
      </c>
      <c r="B404" s="14" t="s">
        <v>804</v>
      </c>
      <c r="C404" s="19">
        <v>44928.0</v>
      </c>
      <c r="D404" s="14" t="s">
        <v>40</v>
      </c>
      <c r="E404" s="14" t="s">
        <v>12</v>
      </c>
    </row>
    <row r="405">
      <c r="A405" s="14" t="s">
        <v>805</v>
      </c>
      <c r="B405" s="14" t="s">
        <v>806</v>
      </c>
      <c r="C405" s="19">
        <v>45224.0</v>
      </c>
      <c r="D405" s="14" t="s">
        <v>11</v>
      </c>
      <c r="E405" s="14" t="s">
        <v>12</v>
      </c>
    </row>
    <row r="406">
      <c r="A406" s="14" t="s">
        <v>807</v>
      </c>
      <c r="B406" s="14" t="s">
        <v>808</v>
      </c>
      <c r="C406" s="19">
        <v>45770.0</v>
      </c>
      <c r="D406" s="14" t="s">
        <v>11</v>
      </c>
      <c r="E406" s="14" t="s">
        <v>12</v>
      </c>
    </row>
    <row r="407">
      <c r="A407" s="14" t="s">
        <v>809</v>
      </c>
      <c r="B407" s="14" t="s">
        <v>810</v>
      </c>
      <c r="C407" s="19">
        <v>45485.0</v>
      </c>
      <c r="D407" s="14" t="s">
        <v>11</v>
      </c>
      <c r="E407" s="14" t="s">
        <v>83</v>
      </c>
    </row>
    <row r="408">
      <c r="A408" s="14" t="s">
        <v>809</v>
      </c>
      <c r="B408" s="14" t="s">
        <v>811</v>
      </c>
      <c r="C408" s="19">
        <v>45680.0</v>
      </c>
      <c r="D408" s="14" t="s">
        <v>40</v>
      </c>
      <c r="E408" s="14" t="s">
        <v>83</v>
      </c>
    </row>
    <row r="409">
      <c r="A409" s="14" t="s">
        <v>812</v>
      </c>
      <c r="B409" s="14" t="s">
        <v>813</v>
      </c>
      <c r="C409" s="19">
        <v>45790.0</v>
      </c>
      <c r="D409" s="14" t="s">
        <v>11</v>
      </c>
      <c r="E409" s="14" t="s">
        <v>12</v>
      </c>
    </row>
    <row r="410">
      <c r="A410" s="14" t="s">
        <v>814</v>
      </c>
      <c r="B410" s="14" t="s">
        <v>815</v>
      </c>
      <c r="C410" s="19">
        <v>45245.0</v>
      </c>
      <c r="D410" s="14" t="s">
        <v>11</v>
      </c>
      <c r="E410" s="14" t="s">
        <v>208</v>
      </c>
    </row>
    <row r="411">
      <c r="A411" s="14" t="s">
        <v>816</v>
      </c>
      <c r="B411" s="14" t="s">
        <v>817</v>
      </c>
      <c r="C411" s="19">
        <v>45727.0</v>
      </c>
      <c r="D411" s="14" t="s">
        <v>11</v>
      </c>
      <c r="E411" s="14" t="s">
        <v>12</v>
      </c>
    </row>
    <row r="412">
      <c r="A412" s="14" t="s">
        <v>816</v>
      </c>
      <c r="B412" s="14" t="s">
        <v>818</v>
      </c>
      <c r="C412" s="19">
        <v>45776.0</v>
      </c>
      <c r="D412" s="14" t="s">
        <v>40</v>
      </c>
      <c r="E412" s="14" t="s">
        <v>12</v>
      </c>
    </row>
    <row r="413">
      <c r="A413" s="14" t="s">
        <v>819</v>
      </c>
      <c r="B413" s="14" t="s">
        <v>820</v>
      </c>
      <c r="C413" s="19">
        <v>44302.0</v>
      </c>
      <c r="D413" s="14" t="s">
        <v>69</v>
      </c>
      <c r="E413" s="14" t="s">
        <v>249</v>
      </c>
    </row>
    <row r="414">
      <c r="A414" s="14" t="s">
        <v>821</v>
      </c>
      <c r="B414" s="14" t="s">
        <v>822</v>
      </c>
      <c r="C414" s="19">
        <v>44824.0</v>
      </c>
      <c r="D414" s="14" t="s">
        <v>11</v>
      </c>
      <c r="E414" s="14" t="s">
        <v>12</v>
      </c>
    </row>
    <row r="415">
      <c r="A415" s="14" t="s">
        <v>823</v>
      </c>
      <c r="B415" s="14" t="s">
        <v>824</v>
      </c>
      <c r="C415" s="19">
        <v>45238.0</v>
      </c>
      <c r="D415" s="14" t="s">
        <v>11</v>
      </c>
      <c r="E415" s="14" t="s">
        <v>35</v>
      </c>
    </row>
    <row r="416">
      <c r="A416" s="14" t="s">
        <v>825</v>
      </c>
      <c r="B416" s="14" t="s">
        <v>826</v>
      </c>
      <c r="C416" s="19">
        <v>44725.0</v>
      </c>
      <c r="D416" s="14" t="s">
        <v>11</v>
      </c>
      <c r="E416" s="14" t="s">
        <v>12</v>
      </c>
    </row>
    <row r="417">
      <c r="A417" s="14" t="s">
        <v>827</v>
      </c>
      <c r="B417" s="14" t="s">
        <v>828</v>
      </c>
      <c r="C417" s="19">
        <v>45189.0</v>
      </c>
      <c r="D417" s="14" t="s">
        <v>11</v>
      </c>
      <c r="E417" s="14" t="s">
        <v>202</v>
      </c>
    </row>
    <row r="418">
      <c r="A418" s="14" t="s">
        <v>829</v>
      </c>
      <c r="B418" s="14" t="s">
        <v>830</v>
      </c>
      <c r="C418" s="19">
        <v>45158.0</v>
      </c>
      <c r="D418" s="14" t="s">
        <v>11</v>
      </c>
      <c r="E418" s="14" t="s">
        <v>562</v>
      </c>
    </row>
    <row r="419">
      <c r="A419" s="14" t="s">
        <v>831</v>
      </c>
      <c r="B419" s="14" t="s">
        <v>832</v>
      </c>
      <c r="C419" s="19">
        <v>45158.0</v>
      </c>
      <c r="D419" s="14" t="s">
        <v>11</v>
      </c>
      <c r="E419" s="14" t="s">
        <v>73</v>
      </c>
    </row>
    <row r="420">
      <c r="A420" s="14" t="s">
        <v>833</v>
      </c>
      <c r="B420" s="14" t="s">
        <v>834</v>
      </c>
      <c r="C420" s="19">
        <v>45296.0</v>
      </c>
      <c r="D420" s="14" t="s">
        <v>11</v>
      </c>
      <c r="E420" s="14" t="s">
        <v>562</v>
      </c>
    </row>
    <row r="421">
      <c r="A421" s="14" t="s">
        <v>835</v>
      </c>
      <c r="B421" s="14" t="s">
        <v>836</v>
      </c>
      <c r="C421" s="19">
        <v>45624.0</v>
      </c>
      <c r="D421" s="14" t="s">
        <v>40</v>
      </c>
      <c r="E421" s="14" t="s">
        <v>91</v>
      </c>
    </row>
    <row r="422">
      <c r="A422" s="14" t="s">
        <v>837</v>
      </c>
      <c r="B422" s="14" t="s">
        <v>838</v>
      </c>
      <c r="C422" s="19">
        <v>45776.0</v>
      </c>
      <c r="D422" s="14" t="s">
        <v>11</v>
      </c>
      <c r="E422" s="14" t="s">
        <v>12</v>
      </c>
    </row>
    <row r="423">
      <c r="A423" s="14" t="s">
        <v>839</v>
      </c>
      <c r="B423" s="14" t="s">
        <v>840</v>
      </c>
      <c r="C423" s="19">
        <v>44905.0</v>
      </c>
      <c r="D423" s="14" t="s">
        <v>11</v>
      </c>
      <c r="E423" s="14" t="s">
        <v>12</v>
      </c>
    </row>
    <row r="424">
      <c r="A424" s="14" t="s">
        <v>839</v>
      </c>
      <c r="B424" s="14" t="s">
        <v>841</v>
      </c>
      <c r="C424" s="19">
        <v>44928.0</v>
      </c>
      <c r="D424" s="14" t="s">
        <v>40</v>
      </c>
      <c r="E424" s="14" t="s">
        <v>12</v>
      </c>
    </row>
    <row r="425">
      <c r="A425" s="14" t="s">
        <v>842</v>
      </c>
      <c r="B425" s="14" t="s">
        <v>843</v>
      </c>
      <c r="C425" s="19">
        <v>45574.0</v>
      </c>
      <c r="D425" s="14" t="s">
        <v>40</v>
      </c>
      <c r="E425" s="14" t="s">
        <v>844</v>
      </c>
    </row>
    <row r="426">
      <c r="A426" s="14" t="s">
        <v>842</v>
      </c>
      <c r="B426" s="14" t="s">
        <v>845</v>
      </c>
      <c r="C426" s="19">
        <v>45595.0</v>
      </c>
      <c r="D426" s="14" t="s">
        <v>11</v>
      </c>
      <c r="E426" s="14" t="s">
        <v>844</v>
      </c>
    </row>
    <row r="427">
      <c r="A427" s="14" t="s">
        <v>846</v>
      </c>
      <c r="B427" s="14" t="s">
        <v>847</v>
      </c>
      <c r="C427" s="19">
        <v>45436.0</v>
      </c>
      <c r="D427" s="14" t="s">
        <v>11</v>
      </c>
      <c r="E427" s="14" t="s">
        <v>213</v>
      </c>
    </row>
    <row r="428">
      <c r="A428" s="14" t="s">
        <v>846</v>
      </c>
      <c r="B428" s="14" t="s">
        <v>848</v>
      </c>
      <c r="C428" s="19">
        <v>45436.0</v>
      </c>
      <c r="D428" s="14" t="s">
        <v>40</v>
      </c>
      <c r="E428" s="14" t="s">
        <v>213</v>
      </c>
    </row>
    <row r="429">
      <c r="A429" s="14" t="s">
        <v>849</v>
      </c>
      <c r="B429" s="14" t="s">
        <v>850</v>
      </c>
      <c r="C429" s="19">
        <v>45624.0</v>
      </c>
      <c r="D429" s="14" t="s">
        <v>11</v>
      </c>
      <c r="E429" s="14" t="s">
        <v>213</v>
      </c>
    </row>
    <row r="430">
      <c r="A430" s="14" t="s">
        <v>851</v>
      </c>
      <c r="B430" s="14" t="s">
        <v>852</v>
      </c>
      <c r="C430" s="19">
        <v>45706.0</v>
      </c>
      <c r="D430" s="14" t="s">
        <v>40</v>
      </c>
      <c r="E430" s="14" t="s">
        <v>23</v>
      </c>
    </row>
    <row r="431">
      <c r="A431" s="14" t="s">
        <v>851</v>
      </c>
      <c r="B431" s="14" t="s">
        <v>853</v>
      </c>
      <c r="C431" s="19">
        <v>45790.0</v>
      </c>
      <c r="D431" s="14" t="s">
        <v>11</v>
      </c>
      <c r="E431" s="14" t="s">
        <v>23</v>
      </c>
    </row>
    <row r="432">
      <c r="A432" s="14" t="s">
        <v>854</v>
      </c>
      <c r="B432" s="14" t="s">
        <v>855</v>
      </c>
      <c r="C432" s="19">
        <v>45776.0</v>
      </c>
      <c r="D432" s="14" t="s">
        <v>40</v>
      </c>
      <c r="E432" s="14" t="s">
        <v>213</v>
      </c>
    </row>
    <row r="433">
      <c r="A433" s="14" t="s">
        <v>856</v>
      </c>
      <c r="B433" s="14" t="s">
        <v>857</v>
      </c>
      <c r="C433" s="19">
        <v>45294.0</v>
      </c>
      <c r="D433" s="14" t="s">
        <v>11</v>
      </c>
      <c r="E433" s="14" t="s">
        <v>202</v>
      </c>
    </row>
    <row r="434">
      <c r="A434" s="14" t="s">
        <v>858</v>
      </c>
      <c r="B434" s="14" t="s">
        <v>859</v>
      </c>
      <c r="C434" s="19">
        <v>45173.0</v>
      </c>
      <c r="D434" s="14" t="s">
        <v>40</v>
      </c>
      <c r="E434" s="14" t="s">
        <v>860</v>
      </c>
    </row>
    <row r="435">
      <c r="A435" s="14" t="s">
        <v>858</v>
      </c>
      <c r="B435" s="14" t="s">
        <v>861</v>
      </c>
      <c r="C435" s="19">
        <v>45244.0</v>
      </c>
      <c r="D435" s="14" t="s">
        <v>11</v>
      </c>
      <c r="E435" s="14" t="s">
        <v>860</v>
      </c>
    </row>
    <row r="436">
      <c r="A436" s="14" t="s">
        <v>862</v>
      </c>
      <c r="B436" s="14" t="s">
        <v>863</v>
      </c>
      <c r="C436" s="19">
        <v>45323.0</v>
      </c>
      <c r="D436" s="14" t="s">
        <v>11</v>
      </c>
      <c r="E436" s="14" t="s">
        <v>12</v>
      </c>
    </row>
    <row r="437">
      <c r="A437" s="14" t="s">
        <v>862</v>
      </c>
      <c r="B437" s="14" t="s">
        <v>864</v>
      </c>
      <c r="C437" s="19">
        <v>45426.0</v>
      </c>
      <c r="D437" s="14" t="s">
        <v>40</v>
      </c>
      <c r="E437" s="14" t="s">
        <v>12</v>
      </c>
    </row>
    <row r="438">
      <c r="A438" s="14" t="s">
        <v>865</v>
      </c>
      <c r="B438" s="14" t="s">
        <v>866</v>
      </c>
      <c r="C438" s="19">
        <v>44932.0</v>
      </c>
      <c r="D438" s="14" t="s">
        <v>11</v>
      </c>
      <c r="E438" s="14" t="s">
        <v>12</v>
      </c>
    </row>
    <row r="439">
      <c r="A439" s="14" t="s">
        <v>867</v>
      </c>
      <c r="B439" s="14" t="s">
        <v>868</v>
      </c>
      <c r="C439" s="19">
        <v>45624.0</v>
      </c>
      <c r="D439" s="14" t="s">
        <v>11</v>
      </c>
      <c r="E439" s="14" t="s">
        <v>12</v>
      </c>
    </row>
    <row r="440">
      <c r="A440" s="14" t="s">
        <v>869</v>
      </c>
      <c r="B440" s="14" t="s">
        <v>870</v>
      </c>
      <c r="C440" s="19">
        <v>44566.0</v>
      </c>
      <c r="D440" s="14" t="s">
        <v>69</v>
      </c>
      <c r="E440" s="14" t="s">
        <v>12</v>
      </c>
    </row>
    <row r="441">
      <c r="A441" s="14" t="s">
        <v>871</v>
      </c>
      <c r="B441" s="14" t="s">
        <v>872</v>
      </c>
      <c r="C441" s="19">
        <v>45776.0</v>
      </c>
      <c r="D441" s="14" t="s">
        <v>40</v>
      </c>
      <c r="E441" s="14" t="s">
        <v>12</v>
      </c>
    </row>
    <row r="442">
      <c r="A442" s="14" t="s">
        <v>871</v>
      </c>
      <c r="B442" s="14" t="s">
        <v>873</v>
      </c>
      <c r="C442" s="19">
        <v>45778.0</v>
      </c>
      <c r="D442" s="14" t="s">
        <v>11</v>
      </c>
      <c r="E442" s="14" t="s">
        <v>12</v>
      </c>
    </row>
    <row r="443">
      <c r="A443" s="14" t="s">
        <v>874</v>
      </c>
      <c r="B443" s="14" t="s">
        <v>875</v>
      </c>
      <c r="C443" s="19">
        <v>44965.0</v>
      </c>
      <c r="D443" s="14" t="s">
        <v>40</v>
      </c>
      <c r="E443" s="14" t="s">
        <v>12</v>
      </c>
    </row>
    <row r="444">
      <c r="A444" s="14" t="s">
        <v>874</v>
      </c>
      <c r="B444" s="14" t="s">
        <v>876</v>
      </c>
      <c r="C444" s="19">
        <v>45170.0</v>
      </c>
      <c r="D444" s="14" t="s">
        <v>11</v>
      </c>
      <c r="E444" s="14" t="s">
        <v>12</v>
      </c>
    </row>
    <row r="445">
      <c r="A445" s="14" t="s">
        <v>877</v>
      </c>
      <c r="B445" s="14" t="s">
        <v>878</v>
      </c>
      <c r="C445" s="19">
        <v>44824.0</v>
      </c>
      <c r="D445" s="14" t="s">
        <v>11</v>
      </c>
      <c r="E445" s="14" t="s">
        <v>12</v>
      </c>
    </row>
    <row r="446">
      <c r="A446" s="14" t="s">
        <v>879</v>
      </c>
      <c r="B446" s="14" t="s">
        <v>880</v>
      </c>
      <c r="C446" s="19">
        <v>45436.0</v>
      </c>
      <c r="D446" s="14" t="s">
        <v>11</v>
      </c>
      <c r="E446" s="14" t="s">
        <v>23</v>
      </c>
    </row>
    <row r="447">
      <c r="A447" s="14" t="s">
        <v>879</v>
      </c>
      <c r="B447" s="14" t="s">
        <v>881</v>
      </c>
      <c r="C447" s="19">
        <v>45485.0</v>
      </c>
      <c r="D447" s="14" t="s">
        <v>40</v>
      </c>
      <c r="E447" s="14" t="s">
        <v>23</v>
      </c>
    </row>
    <row r="448">
      <c r="A448" s="14" t="s">
        <v>882</v>
      </c>
      <c r="B448" s="14" t="s">
        <v>883</v>
      </c>
      <c r="C448" s="19">
        <v>45769.0</v>
      </c>
      <c r="D448" s="14" t="s">
        <v>11</v>
      </c>
      <c r="E448" s="14" t="s">
        <v>12</v>
      </c>
    </row>
    <row r="449">
      <c r="A449" s="14" t="s">
        <v>884</v>
      </c>
      <c r="B449" s="14" t="s">
        <v>885</v>
      </c>
      <c r="C449" s="19">
        <v>44824.0</v>
      </c>
      <c r="D449" s="14" t="s">
        <v>11</v>
      </c>
      <c r="E449" s="14" t="s">
        <v>12</v>
      </c>
    </row>
    <row r="450">
      <c r="A450" s="14" t="s">
        <v>886</v>
      </c>
      <c r="B450" s="14" t="s">
        <v>887</v>
      </c>
      <c r="C450" s="19">
        <v>45294.0</v>
      </c>
      <c r="D450" s="14" t="s">
        <v>11</v>
      </c>
      <c r="E450" s="14" t="s">
        <v>562</v>
      </c>
    </row>
    <row r="451">
      <c r="A451" s="14" t="s">
        <v>888</v>
      </c>
      <c r="B451" s="14" t="s">
        <v>889</v>
      </c>
      <c r="C451" s="19">
        <v>45224.0</v>
      </c>
      <c r="D451" s="14" t="s">
        <v>40</v>
      </c>
      <c r="E451" s="14" t="s">
        <v>100</v>
      </c>
    </row>
    <row r="452">
      <c r="A452" s="14" t="s">
        <v>888</v>
      </c>
      <c r="B452" s="14" t="s">
        <v>890</v>
      </c>
      <c r="C452" s="19">
        <v>45294.0</v>
      </c>
      <c r="D452" s="14" t="s">
        <v>11</v>
      </c>
      <c r="E452" s="14" t="s">
        <v>100</v>
      </c>
    </row>
    <row r="453">
      <c r="A453" s="14" t="s">
        <v>891</v>
      </c>
      <c r="B453" s="14" t="s">
        <v>892</v>
      </c>
      <c r="C453" s="19">
        <v>45595.0</v>
      </c>
      <c r="D453" s="14" t="s">
        <v>40</v>
      </c>
      <c r="E453" s="14" t="s">
        <v>83</v>
      </c>
    </row>
    <row r="454">
      <c r="A454" s="14" t="s">
        <v>893</v>
      </c>
      <c r="B454" s="14" t="s">
        <v>894</v>
      </c>
      <c r="C454" s="19">
        <v>45520.0</v>
      </c>
      <c r="D454" s="14" t="s">
        <v>11</v>
      </c>
      <c r="E454" s="14" t="s">
        <v>12</v>
      </c>
    </row>
    <row r="455">
      <c r="A455" s="14" t="s">
        <v>895</v>
      </c>
      <c r="B455" s="14" t="s">
        <v>896</v>
      </c>
      <c r="C455" s="19">
        <v>45023.0</v>
      </c>
      <c r="D455" s="14" t="s">
        <v>11</v>
      </c>
      <c r="E455" s="14" t="s">
        <v>12</v>
      </c>
    </row>
    <row r="456">
      <c r="A456" s="14" t="s">
        <v>897</v>
      </c>
      <c r="B456" s="14" t="s">
        <v>898</v>
      </c>
      <c r="C456" s="19">
        <v>45769.0</v>
      </c>
      <c r="D456" s="14" t="s">
        <v>40</v>
      </c>
      <c r="E456" s="14" t="s">
        <v>35</v>
      </c>
    </row>
    <row r="457">
      <c r="A457" s="14" t="s">
        <v>897</v>
      </c>
      <c r="B457" s="14" t="s">
        <v>899</v>
      </c>
      <c r="C457" s="19">
        <v>45778.0</v>
      </c>
      <c r="D457" s="14" t="s">
        <v>11</v>
      </c>
      <c r="E457" s="14" t="s">
        <v>35</v>
      </c>
    </row>
    <row r="458">
      <c r="A458" s="14" t="s">
        <v>900</v>
      </c>
      <c r="B458" s="14" t="s">
        <v>901</v>
      </c>
      <c r="C458" s="19"/>
      <c r="D458" s="14" t="s">
        <v>40</v>
      </c>
      <c r="E458" s="14" t="s">
        <v>464</v>
      </c>
    </row>
    <row r="459">
      <c r="A459" s="14" t="s">
        <v>902</v>
      </c>
      <c r="B459" s="14" t="s">
        <v>903</v>
      </c>
      <c r="C459" s="19">
        <v>45016.0</v>
      </c>
      <c r="D459" s="14" t="s">
        <v>11</v>
      </c>
      <c r="E459" s="14" t="s">
        <v>38</v>
      </c>
    </row>
    <row r="460">
      <c r="A460" s="14" t="s">
        <v>904</v>
      </c>
      <c r="B460" s="14" t="s">
        <v>905</v>
      </c>
      <c r="C460" s="19">
        <v>45085.0</v>
      </c>
      <c r="D460" s="14" t="s">
        <v>11</v>
      </c>
      <c r="E460" s="14" t="s">
        <v>38</v>
      </c>
    </row>
    <row r="461">
      <c r="A461" s="14" t="s">
        <v>904</v>
      </c>
      <c r="B461" s="14" t="s">
        <v>906</v>
      </c>
      <c r="C461" s="19">
        <v>45126.0</v>
      </c>
      <c r="D461" s="14" t="s">
        <v>40</v>
      </c>
      <c r="E461" s="14" t="s">
        <v>38</v>
      </c>
    </row>
    <row r="462">
      <c r="A462" s="14" t="s">
        <v>907</v>
      </c>
      <c r="B462" s="14" t="s">
        <v>908</v>
      </c>
      <c r="C462" s="19">
        <v>45049.0</v>
      </c>
      <c r="D462" s="14" t="s">
        <v>11</v>
      </c>
      <c r="E462" s="14" t="s">
        <v>12</v>
      </c>
    </row>
    <row r="463">
      <c r="A463" s="14" t="s">
        <v>909</v>
      </c>
      <c r="B463" s="14" t="s">
        <v>910</v>
      </c>
      <c r="C463" s="19">
        <v>44831.0</v>
      </c>
      <c r="D463" s="14" t="s">
        <v>11</v>
      </c>
      <c r="E463" s="14" t="s">
        <v>12</v>
      </c>
    </row>
    <row r="464">
      <c r="A464" s="14" t="s">
        <v>911</v>
      </c>
      <c r="B464" s="14" t="s">
        <v>912</v>
      </c>
      <c r="C464" s="19">
        <v>45296.0</v>
      </c>
      <c r="D464" s="14" t="s">
        <v>11</v>
      </c>
      <c r="E464" s="14" t="s">
        <v>12</v>
      </c>
    </row>
    <row r="465">
      <c r="A465" s="14" t="s">
        <v>913</v>
      </c>
      <c r="B465" s="14" t="s">
        <v>914</v>
      </c>
      <c r="C465" s="19">
        <v>45520.0</v>
      </c>
      <c r="D465" s="14" t="s">
        <v>11</v>
      </c>
      <c r="E465" s="14" t="s">
        <v>12</v>
      </c>
    </row>
    <row r="466">
      <c r="A466" s="14" t="s">
        <v>915</v>
      </c>
      <c r="B466" s="14" t="s">
        <v>916</v>
      </c>
      <c r="C466" s="19">
        <v>45497.0</v>
      </c>
      <c r="D466" s="14" t="s">
        <v>11</v>
      </c>
      <c r="E466" s="14" t="s">
        <v>38</v>
      </c>
    </row>
    <row r="467">
      <c r="A467" s="14" t="s">
        <v>915</v>
      </c>
      <c r="B467" s="14" t="s">
        <v>917</v>
      </c>
      <c r="C467" s="19">
        <v>45497.0</v>
      </c>
      <c r="D467" s="14" t="s">
        <v>40</v>
      </c>
      <c r="E467" s="14" t="s">
        <v>38</v>
      </c>
    </row>
    <row r="468">
      <c r="A468" s="14" t="s">
        <v>918</v>
      </c>
      <c r="B468" s="14" t="s">
        <v>919</v>
      </c>
      <c r="C468" s="19">
        <v>45015.0</v>
      </c>
      <c r="D468" s="14" t="s">
        <v>11</v>
      </c>
      <c r="E468" s="14" t="s">
        <v>12</v>
      </c>
    </row>
    <row r="469">
      <c r="A469" s="14" t="s">
        <v>920</v>
      </c>
      <c r="B469" s="14" t="s">
        <v>921</v>
      </c>
      <c r="C469" s="19">
        <v>45798.0</v>
      </c>
      <c r="D469" s="14" t="s">
        <v>11</v>
      </c>
      <c r="E469" s="14" t="s">
        <v>12</v>
      </c>
    </row>
    <row r="470">
      <c r="A470" s="14" t="s">
        <v>922</v>
      </c>
      <c r="B470" s="14" t="s">
        <v>923</v>
      </c>
      <c r="C470" s="19">
        <v>45783.0</v>
      </c>
      <c r="D470" s="14" t="s">
        <v>40</v>
      </c>
      <c r="E470" s="14" t="s">
        <v>213</v>
      </c>
    </row>
    <row r="471">
      <c r="A471" s="14" t="s">
        <v>924</v>
      </c>
      <c r="B471" s="14" t="s">
        <v>925</v>
      </c>
      <c r="C471" s="19">
        <v>45783.0</v>
      </c>
      <c r="D471" s="14" t="s">
        <v>40</v>
      </c>
      <c r="E471" s="14" t="s">
        <v>35</v>
      </c>
    </row>
    <row r="472">
      <c r="A472" s="14" t="s">
        <v>926</v>
      </c>
      <c r="B472" s="14" t="s">
        <v>927</v>
      </c>
      <c r="C472" s="19">
        <v>45140.0</v>
      </c>
      <c r="D472" s="14" t="s">
        <v>11</v>
      </c>
      <c r="E472" s="14" t="s">
        <v>38</v>
      </c>
    </row>
    <row r="473">
      <c r="A473" s="14" t="s">
        <v>928</v>
      </c>
      <c r="B473" s="14" t="s">
        <v>929</v>
      </c>
      <c r="C473" s="19">
        <v>45436.0</v>
      </c>
      <c r="D473" s="14" t="s">
        <v>11</v>
      </c>
      <c r="E473" s="14" t="s">
        <v>213</v>
      </c>
    </row>
    <row r="474">
      <c r="A474" s="14" t="s">
        <v>928</v>
      </c>
      <c r="B474" s="14" t="s">
        <v>930</v>
      </c>
      <c r="C474" s="19">
        <v>45436.0</v>
      </c>
      <c r="D474" s="14" t="s">
        <v>40</v>
      </c>
      <c r="E474" s="14" t="s">
        <v>213</v>
      </c>
    </row>
    <row r="475">
      <c r="A475" s="14" t="s">
        <v>931</v>
      </c>
      <c r="B475" s="14" t="s">
        <v>932</v>
      </c>
      <c r="C475" s="19">
        <v>45224.0</v>
      </c>
      <c r="D475" s="14" t="s">
        <v>11</v>
      </c>
      <c r="E475" s="14" t="s">
        <v>12</v>
      </c>
    </row>
    <row r="476">
      <c r="A476" s="14" t="s">
        <v>933</v>
      </c>
      <c r="B476" s="14" t="s">
        <v>934</v>
      </c>
      <c r="C476" s="19">
        <v>45145.0</v>
      </c>
      <c r="D476" s="14" t="s">
        <v>11</v>
      </c>
      <c r="E476" s="14" t="s">
        <v>12</v>
      </c>
    </row>
    <row r="477">
      <c r="A477" s="14" t="s">
        <v>935</v>
      </c>
      <c r="B477" s="14" t="s">
        <v>936</v>
      </c>
      <c r="C477" s="19">
        <v>45436.0</v>
      </c>
      <c r="D477" s="14" t="s">
        <v>11</v>
      </c>
      <c r="E477" s="14" t="s">
        <v>302</v>
      </c>
    </row>
    <row r="478">
      <c r="A478" s="14" t="s">
        <v>937</v>
      </c>
      <c r="B478" s="14" t="s">
        <v>938</v>
      </c>
      <c r="C478" s="19">
        <v>45783.0</v>
      </c>
      <c r="D478" s="14" t="s">
        <v>11</v>
      </c>
      <c r="E478" s="14" t="s">
        <v>12</v>
      </c>
    </row>
    <row r="479">
      <c r="A479" s="14" t="s">
        <v>939</v>
      </c>
      <c r="B479" s="14" t="s">
        <v>940</v>
      </c>
      <c r="C479" s="19">
        <v>45680.0</v>
      </c>
      <c r="D479" s="14" t="s">
        <v>40</v>
      </c>
      <c r="E479" s="14" t="s">
        <v>58</v>
      </c>
    </row>
    <row r="480">
      <c r="A480" s="14" t="s">
        <v>941</v>
      </c>
      <c r="B480" s="14" t="s">
        <v>942</v>
      </c>
      <c r="C480" s="19">
        <v>45650.0</v>
      </c>
      <c r="D480" s="14" t="s">
        <v>40</v>
      </c>
      <c r="E480" s="14" t="s">
        <v>213</v>
      </c>
    </row>
    <row r="481">
      <c r="A481" s="14" t="s">
        <v>943</v>
      </c>
      <c r="B481" s="14" t="s">
        <v>944</v>
      </c>
      <c r="C481" s="19"/>
      <c r="D481" s="14" t="s">
        <v>11</v>
      </c>
      <c r="E481" s="14" t="s">
        <v>12</v>
      </c>
    </row>
    <row r="482">
      <c r="A482" s="14" t="s">
        <v>945</v>
      </c>
      <c r="B482" s="14" t="s">
        <v>946</v>
      </c>
      <c r="C482" s="19">
        <v>45713.0</v>
      </c>
      <c r="D482" s="14" t="s">
        <v>11</v>
      </c>
      <c r="E482" s="14" t="s">
        <v>12</v>
      </c>
    </row>
  </sheetData>
  <autoFilter ref="$A$1:$E$482">
    <sortState ref="A1:E482">
      <sortCondition ref="A1:A482"/>
    </sortState>
  </autoFilter>
  <drawing r:id="rId1"/>
</worksheet>
</file>